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JUS/Desktop/"/>
    </mc:Choice>
  </mc:AlternateContent>
  <bookViews>
    <workbookView xWindow="0" yWindow="460" windowWidth="27020" windowHeight="13160" tabRatio="500" activeTab="1"/>
  </bookViews>
  <sheets>
    <sheet name="Instruktioner" sheetId="7" r:id="rId1"/>
    <sheet name="Bidragsfördelningsnyckel" sheetId="5" r:id="rId2"/>
    <sheet name="Medlemsföreningsunderlag 2018" sheetId="6" r:id="rId3"/>
  </sheets>
  <definedNames>
    <definedName name="_xlnm._FilterDatabase" localSheetId="1" hidden="1">Bidragsfördelningsnyckel!$A$34:$M$55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5" l="1"/>
  <c r="B30" i="5"/>
  <c r="A35" i="5"/>
  <c r="C35" i="5"/>
  <c r="D35" i="5"/>
  <c r="A36" i="5"/>
  <c r="C36" i="5"/>
  <c r="A37" i="5"/>
  <c r="C37" i="5"/>
  <c r="A38" i="5"/>
  <c r="B38" i="5"/>
  <c r="A39" i="5"/>
  <c r="C39" i="5"/>
  <c r="A40" i="5"/>
  <c r="C40" i="5"/>
  <c r="A41" i="5"/>
  <c r="C41" i="5"/>
  <c r="A42" i="5"/>
  <c r="C42" i="5"/>
  <c r="A43" i="5"/>
  <c r="C43" i="5"/>
  <c r="A44" i="5"/>
  <c r="B44" i="5"/>
  <c r="A45" i="5"/>
  <c r="B45" i="5"/>
  <c r="A46" i="5"/>
  <c r="C46" i="5"/>
  <c r="A47" i="5"/>
  <c r="B47" i="5"/>
  <c r="A48" i="5"/>
  <c r="C48" i="5"/>
  <c r="A49" i="5"/>
  <c r="C49" i="5"/>
  <c r="A50" i="5"/>
  <c r="C50" i="5"/>
  <c r="A51" i="5"/>
  <c r="C51" i="5"/>
  <c r="A52" i="5"/>
  <c r="C52" i="5"/>
  <c r="A53" i="5"/>
  <c r="C53" i="5"/>
  <c r="C55" i="5"/>
  <c r="B13" i="5"/>
  <c r="B15" i="5"/>
  <c r="B18" i="5"/>
  <c r="D36" i="5"/>
  <c r="D37" i="5"/>
  <c r="D38" i="5"/>
  <c r="B39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5" i="5"/>
  <c r="B19" i="5"/>
  <c r="E35" i="5"/>
  <c r="F35" i="5"/>
  <c r="B23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5" i="5"/>
  <c r="B27" i="5"/>
  <c r="G35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B31" i="5"/>
  <c r="I35" i="5"/>
  <c r="J35" i="5"/>
  <c r="K35" i="5"/>
  <c r="B28" i="6"/>
  <c r="M56" i="5"/>
  <c r="M44" i="5"/>
  <c r="M36" i="5"/>
  <c r="M37" i="5"/>
  <c r="M38" i="5"/>
  <c r="M39" i="5"/>
  <c r="M40" i="5"/>
  <c r="M41" i="5"/>
  <c r="M42" i="5"/>
  <c r="M43" i="5"/>
  <c r="M45" i="5"/>
  <c r="M46" i="5"/>
  <c r="M47" i="5"/>
  <c r="M48" i="5"/>
  <c r="M49" i="5"/>
  <c r="M50" i="5"/>
  <c r="M51" i="5"/>
  <c r="M52" i="5"/>
  <c r="M53" i="5"/>
  <c r="A54" i="5"/>
  <c r="M54" i="5"/>
  <c r="M35" i="5"/>
  <c r="M55" i="5"/>
  <c r="B55" i="5"/>
  <c r="B21" i="5"/>
  <c r="L35" i="5"/>
  <c r="L38" i="5"/>
  <c r="C54" i="5"/>
  <c r="D54" i="5"/>
  <c r="E54" i="5"/>
  <c r="F54" i="5"/>
  <c r="G54" i="5"/>
  <c r="H54" i="5"/>
  <c r="I54" i="5"/>
  <c r="J54" i="5"/>
  <c r="K54" i="5"/>
  <c r="L54" i="5"/>
  <c r="N54" i="5"/>
  <c r="I49" i="5"/>
  <c r="E36" i="5"/>
  <c r="G36" i="5"/>
  <c r="I36" i="5"/>
  <c r="J36" i="5"/>
  <c r="L36" i="5"/>
  <c r="N36" i="5"/>
  <c r="G37" i="5"/>
  <c r="I37" i="5"/>
  <c r="E37" i="5"/>
  <c r="J37" i="5"/>
  <c r="L37" i="5"/>
  <c r="N37" i="5"/>
  <c r="G38" i="5"/>
  <c r="I38" i="5"/>
  <c r="E38" i="5"/>
  <c r="J38" i="5"/>
  <c r="N38" i="5"/>
  <c r="G39" i="5"/>
  <c r="I39" i="5"/>
  <c r="E39" i="5"/>
  <c r="J39" i="5"/>
  <c r="L39" i="5"/>
  <c r="N39" i="5"/>
  <c r="G40" i="5"/>
  <c r="I40" i="5"/>
  <c r="E40" i="5"/>
  <c r="J40" i="5"/>
  <c r="L40" i="5"/>
  <c r="N40" i="5"/>
  <c r="G41" i="5"/>
  <c r="I41" i="5"/>
  <c r="E41" i="5"/>
  <c r="J41" i="5"/>
  <c r="L41" i="5"/>
  <c r="N41" i="5"/>
  <c r="G42" i="5"/>
  <c r="I42" i="5"/>
  <c r="E42" i="5"/>
  <c r="J42" i="5"/>
  <c r="L42" i="5"/>
  <c r="N42" i="5"/>
  <c r="G43" i="5"/>
  <c r="I43" i="5"/>
  <c r="E43" i="5"/>
  <c r="J43" i="5"/>
  <c r="L43" i="5"/>
  <c r="N43" i="5"/>
  <c r="G44" i="5"/>
  <c r="I44" i="5"/>
  <c r="E44" i="5"/>
  <c r="J44" i="5"/>
  <c r="L44" i="5"/>
  <c r="N44" i="5"/>
  <c r="G45" i="5"/>
  <c r="I45" i="5"/>
  <c r="E45" i="5"/>
  <c r="J45" i="5"/>
  <c r="L45" i="5"/>
  <c r="N45" i="5"/>
  <c r="G46" i="5"/>
  <c r="I46" i="5"/>
  <c r="E46" i="5"/>
  <c r="J46" i="5"/>
  <c r="L46" i="5"/>
  <c r="N46" i="5"/>
  <c r="G47" i="5"/>
  <c r="I47" i="5"/>
  <c r="E47" i="5"/>
  <c r="J47" i="5"/>
  <c r="L47" i="5"/>
  <c r="N47" i="5"/>
  <c r="G48" i="5"/>
  <c r="I48" i="5"/>
  <c r="E48" i="5"/>
  <c r="J48" i="5"/>
  <c r="L48" i="5"/>
  <c r="N48" i="5"/>
  <c r="G49" i="5"/>
  <c r="E49" i="5"/>
  <c r="J49" i="5"/>
  <c r="L49" i="5"/>
  <c r="N49" i="5"/>
  <c r="G50" i="5"/>
  <c r="I50" i="5"/>
  <c r="E50" i="5"/>
  <c r="J50" i="5"/>
  <c r="L50" i="5"/>
  <c r="N50" i="5"/>
  <c r="G51" i="5"/>
  <c r="I51" i="5"/>
  <c r="E51" i="5"/>
  <c r="J51" i="5"/>
  <c r="L51" i="5"/>
  <c r="N51" i="5"/>
  <c r="G52" i="5"/>
  <c r="I52" i="5"/>
  <c r="E52" i="5"/>
  <c r="J52" i="5"/>
  <c r="L52" i="5"/>
  <c r="N52" i="5"/>
  <c r="G53" i="5"/>
  <c r="I53" i="5"/>
  <c r="E53" i="5"/>
  <c r="J53" i="5"/>
  <c r="L53" i="5"/>
  <c r="N53" i="5"/>
  <c r="N35" i="5"/>
  <c r="K48" i="5"/>
  <c r="K49" i="5"/>
  <c r="K50" i="5"/>
  <c r="K51" i="5"/>
  <c r="K52" i="5"/>
  <c r="K53" i="5"/>
  <c r="K43" i="5"/>
  <c r="K44" i="5"/>
  <c r="K45" i="5"/>
  <c r="K46" i="5"/>
  <c r="K47" i="5"/>
  <c r="J55" i="5"/>
  <c r="K41" i="5"/>
  <c r="K36" i="5"/>
  <c r="K37" i="5"/>
  <c r="K38" i="5"/>
  <c r="K39" i="5"/>
  <c r="K40" i="5"/>
  <c r="K42" i="5"/>
  <c r="K55" i="5"/>
  <c r="L55" i="5"/>
  <c r="L56" i="5"/>
  <c r="G55" i="5"/>
  <c r="I55" i="5"/>
  <c r="E55" i="5"/>
</calcChain>
</file>

<file path=xl/comments1.xml><?xml version="1.0" encoding="utf-8"?>
<comments xmlns="http://schemas.openxmlformats.org/spreadsheetml/2006/main">
  <authors>
    <author>David Cohn</author>
  </authors>
  <commentList>
    <comment ref="B5" authorId="0">
      <text>
        <r>
          <rPr>
            <sz val="9"/>
            <color indexed="81"/>
            <rFont val="Verdana"/>
          </rPr>
          <t>Summan av bidrag avsatt för nya föreningar under året</t>
        </r>
      </text>
    </comment>
    <comment ref="A7" authorId="0">
      <text>
        <r>
          <rPr>
            <sz val="9"/>
            <color indexed="81"/>
            <rFont val="Verdana"/>
          </rPr>
          <t>Fördelningsnyckeln för ÅR 2 föreningar baserat på medlemmar år 1</t>
        </r>
      </text>
    </comment>
    <comment ref="B13" authorId="0">
      <text>
        <r>
          <rPr>
            <sz val="9"/>
            <color indexed="81"/>
            <rFont val="Verdana"/>
          </rPr>
          <t>Totalt bidrag till ÅR 2 föreningar</t>
        </r>
      </text>
    </comment>
    <comment ref="B15" authorId="0">
      <text>
        <r>
          <rPr>
            <sz val="9"/>
            <color indexed="81"/>
            <rFont val="Verdana"/>
          </rPr>
          <t>Bidragspott till föreningar som varit medlemmar mer än 2 år</t>
        </r>
      </text>
    </comment>
    <comment ref="B17" authorId="0">
      <text>
        <r>
          <rPr>
            <sz val="9"/>
            <color indexed="81"/>
            <rFont val="Verdana"/>
          </rPr>
          <t>Välj den procentuella storleken av bidragspotten som ska utgöra grundbidraget</t>
        </r>
      </text>
    </comment>
    <comment ref="B18" authorId="0">
      <text>
        <r>
          <rPr>
            <sz val="9"/>
            <color indexed="81"/>
            <rFont val="Verdana"/>
          </rPr>
          <t xml:space="preserve">Storleken på grunbidraget
</t>
        </r>
      </text>
    </comment>
    <comment ref="B19" authorId="0">
      <text>
        <r>
          <rPr>
            <sz val="9"/>
            <color indexed="81"/>
            <rFont val="Verdana"/>
          </rPr>
          <t>Grundbidraget fördelat per de första 100 medlemmarna</t>
        </r>
      </text>
    </comment>
    <comment ref="B25" authorId="0">
      <text>
        <r>
          <rPr>
            <sz val="9"/>
            <color indexed="81"/>
            <rFont val="Verdana"/>
          </rPr>
          <t>Välj den procentuella fördelningen av tillägsbidraget att fördela till medlem 101-200</t>
        </r>
      </text>
    </comment>
    <comment ref="B26" authorId="0">
      <text>
        <r>
          <rPr>
            <sz val="9"/>
            <color indexed="81"/>
            <rFont val="Verdana"/>
          </rPr>
          <t>Tilläggsbidraget för medlemsföreningar med medlammar 101-200 att dela på</t>
        </r>
      </text>
    </comment>
    <comment ref="B27" authorId="0">
      <text>
        <r>
          <rPr>
            <sz val="9"/>
            <color indexed="81"/>
            <rFont val="Verdana"/>
          </rPr>
          <t>Tillägsbidraget per medlem 101-200</t>
        </r>
      </text>
    </comment>
    <comment ref="B29" authorId="0">
      <text>
        <r>
          <rPr>
            <sz val="9"/>
            <color indexed="81"/>
            <rFont val="Verdana"/>
          </rPr>
          <t>Den procentuella fördelningen av tillägsbidraget fördelat till medlem 201+</t>
        </r>
      </text>
    </comment>
    <comment ref="B30" authorId="0">
      <text>
        <r>
          <rPr>
            <sz val="9"/>
            <color indexed="81"/>
            <rFont val="Verdana"/>
          </rPr>
          <t>Tilläggsbidraget för medlemsföreningar med 201+ medlammar att dela på</t>
        </r>
      </text>
    </comment>
    <comment ref="B31" authorId="0">
      <text>
        <r>
          <rPr>
            <sz val="9"/>
            <color indexed="81"/>
            <rFont val="Verdana"/>
          </rPr>
          <t>Tilläggsbidraget per medlem 201+</t>
        </r>
      </text>
    </comment>
    <comment ref="J55" authorId="0">
      <text>
        <r>
          <rPr>
            <sz val="9"/>
            <color indexed="81"/>
            <rFont val="Verdana"/>
          </rPr>
          <t>Exklusive bidraget avsatt för nya medlemsföreningar</t>
        </r>
      </text>
    </comment>
  </commentList>
</comments>
</file>

<file path=xl/comments2.xml><?xml version="1.0" encoding="utf-8"?>
<comments xmlns="http://schemas.openxmlformats.org/spreadsheetml/2006/main">
  <authors>
    <author>David Cohn</author>
  </authors>
  <commentList>
    <comment ref="B4" authorId="0">
      <text>
        <r>
          <rPr>
            <sz val="9"/>
            <color indexed="81"/>
            <rFont val="Verdana"/>
          </rPr>
          <t xml:space="preserve">Fly i föreningarnas bidragsgrundande medlemsunderlag.
</t>
        </r>
      </text>
    </comment>
    <comment ref="C4" authorId="0">
      <text>
        <r>
          <rPr>
            <sz val="9"/>
            <color indexed="81"/>
            <rFont val="Verdana"/>
          </rPr>
          <t>Markera ÅR 2 föreningar med 1. Föreningar medlemmar längre än 2 år markera med 0</t>
        </r>
      </text>
    </comment>
  </commentList>
</comments>
</file>

<file path=xl/sharedStrings.xml><?xml version="1.0" encoding="utf-8"?>
<sst xmlns="http://schemas.openxmlformats.org/spreadsheetml/2006/main" count="93" uniqueCount="89">
  <si>
    <t>Grundbidrag</t>
    <phoneticPr fontId="2" type="noConversion"/>
  </si>
  <si>
    <t>Grundbidrag/medlem</t>
    <phoneticPr fontId="2" type="noConversion"/>
  </si>
  <si>
    <t>JSG</t>
  </si>
  <si>
    <t>JUGBG</t>
  </si>
  <si>
    <t>Totalt Tilläggsbidrag</t>
    <phoneticPr fontId="2" type="noConversion"/>
  </si>
  <si>
    <t>Medelm &lt;100</t>
    <phoneticPr fontId="2" type="noConversion"/>
  </si>
  <si>
    <t>Totalt bidrag</t>
    <phoneticPr fontId="2" type="noConversion"/>
  </si>
  <si>
    <t>JUSK</t>
  </si>
  <si>
    <t>SJUF</t>
  </si>
  <si>
    <t>Bidrag till nya föreningar</t>
  </si>
  <si>
    <t>1-10 medlemmar</t>
  </si>
  <si>
    <t>11-20 medlemmar</t>
  </si>
  <si>
    <t>41-70 medlemmar</t>
  </si>
  <si>
    <t>71&lt; medlemmar</t>
  </si>
  <si>
    <t>ÖJUF</t>
  </si>
  <si>
    <t>JUF</t>
  </si>
  <si>
    <t>Bidragsgrunande medelmar</t>
  </si>
  <si>
    <t>21-40 medlemmar</t>
  </si>
  <si>
    <t>Tilläggsbidrag storlek (201+)</t>
  </si>
  <si>
    <t>Tilläggsbidrag storlek (101-200)</t>
  </si>
  <si>
    <t>Tilläggsbidrag (101-200)</t>
  </si>
  <si>
    <t>Totalt bidrag till ÅR 2 föreningar</t>
  </si>
  <si>
    <t>Bidragsnyckel ÅR 2 föreningar</t>
  </si>
  <si>
    <t>Bidrag ÅR 2 föreningar</t>
  </si>
  <si>
    <t>Tillägggsbidrag 201+</t>
  </si>
  <si>
    <t>Medlemmar 101-200</t>
  </si>
  <si>
    <t>Medlemmar 201+</t>
  </si>
  <si>
    <t>Tilläggsbidrag (201+)</t>
  </si>
  <si>
    <t>Grundbidragspotten storlek</t>
  </si>
  <si>
    <t>Tilläggsbidrag/medlem (101-200)</t>
  </si>
  <si>
    <t>Tilläggsbidrag/medlem (201+)</t>
  </si>
  <si>
    <t>Medlemsförening</t>
  </si>
  <si>
    <t>Bidrag (%)</t>
  </si>
  <si>
    <t>Medlemsantal (%)</t>
  </si>
  <si>
    <t>JUDISKA UNGDOMSFÖRBUNDET I SVERIGE</t>
  </si>
  <si>
    <t>Bidragsfördelningsnyckel</t>
  </si>
  <si>
    <t>Såhär använder du bidragsfördelningsnyckel</t>
  </si>
  <si>
    <t>1.</t>
  </si>
  <si>
    <t>2.</t>
  </si>
  <si>
    <t>a.</t>
  </si>
  <si>
    <t>b.</t>
  </si>
  <si>
    <t>c.</t>
  </si>
  <si>
    <t>Lägger till nya föreningar som bildats under föregående år, deras bidragsgrundande medlemmar och markerar dessa med en 1 (siffra 1) under 'År 2 föreningar'.</t>
  </si>
  <si>
    <t>Ange antalet bidragsgrundande medlemmar varje förening haft under föregående år.</t>
  </si>
  <si>
    <t>Totalt bidrag till Medlemsföreningar</t>
  </si>
  <si>
    <t>Dessa föreningar kommer att få bidrag där storleken baserat på ett givet intervall av deras medlemmar under första året.</t>
  </si>
  <si>
    <t>Fliken 'Medlemsföreningsunderlag':</t>
  </si>
  <si>
    <t>Filken 'Bidragsfördelningsnyckel'</t>
  </si>
  <si>
    <t>Fyll i de blåa rutorna:</t>
  </si>
  <si>
    <t>3.</t>
  </si>
  <si>
    <t>4.</t>
  </si>
  <si>
    <t>5.</t>
  </si>
  <si>
    <t>Automatiskt räknas även storleken för tillägsbidraget för föreningar med över 200 medlemmar</t>
  </si>
  <si>
    <r>
      <t xml:space="preserve">I fältet </t>
    </r>
    <r>
      <rPr>
        <i/>
        <sz val="12"/>
        <rFont val="Verdana"/>
      </rPr>
      <t xml:space="preserve">'Bidrag till nya föreningar' </t>
    </r>
    <r>
      <rPr>
        <sz val="12"/>
        <rFont val="Verdana"/>
      </rPr>
      <t>anges den summan som avsätts för nya föreningar som bildas under året.</t>
    </r>
  </si>
  <si>
    <r>
      <t xml:space="preserve">I fälten under </t>
    </r>
    <r>
      <rPr>
        <i/>
        <sz val="12"/>
        <rFont val="Verdana"/>
      </rPr>
      <t xml:space="preserve">'Bidrag ÅR 2 föreningar' </t>
    </r>
    <r>
      <rPr>
        <sz val="12"/>
        <rFont val="Verdana"/>
      </rPr>
      <t>anges summorna i de intervall som utgör fördelningsnyckeln för föreningar som bildats under föregående år.</t>
    </r>
  </si>
  <si>
    <r>
      <t xml:space="preserve">I fältet </t>
    </r>
    <r>
      <rPr>
        <i/>
        <sz val="12"/>
        <rFont val="Verdana"/>
      </rPr>
      <t xml:space="preserve">'Grundbidragspottens storlek' </t>
    </r>
    <r>
      <rPr>
        <sz val="12"/>
        <rFont val="Verdana"/>
      </rPr>
      <t>ange den procent av bidragspotten för föreningar 2+ År som ska utgöra grundbidraget för medlemsantal upp till 100 medlemmar.</t>
    </r>
  </si>
  <si>
    <r>
      <t xml:space="preserve">I fältet </t>
    </r>
    <r>
      <rPr>
        <i/>
        <sz val="12"/>
        <rFont val="Verdana"/>
      </rPr>
      <t xml:space="preserve">'Tillägsbidragets storlek' </t>
    </r>
    <r>
      <rPr>
        <sz val="12"/>
        <rFont val="Verdana"/>
      </rPr>
      <t xml:space="preserve">ange den procent av tillägsbidraget som tillfaller föreningar med medlemmar i intervallet 101-200 medlemmar. </t>
    </r>
  </si>
  <si>
    <t xml:space="preserve">Använd denna fördelningsnyckel för att beräkna medlemsföreningarna bidragsunderlag. </t>
  </si>
  <si>
    <t>Du kan lätt lägga till eller ta bort medlemsföreningar samt laborera med varje medlemsförenings bidragsstorlek genom att enbart ändra vissa parameterar.</t>
  </si>
  <si>
    <t>Fält som är markerat med blått kan ändras och medlemsförenings bidragspott beräknas automatiskt.</t>
  </si>
  <si>
    <t>Ändra status på 'År 2 föreningar" från 1 till 0 (1 för år två). Dessa får nu bidrag enligt ordinarie bidrag fördelningsnyckel.</t>
  </si>
  <si>
    <r>
      <t xml:space="preserve">I fältet </t>
    </r>
    <r>
      <rPr>
        <i/>
        <sz val="12"/>
        <rFont val="Verdana"/>
      </rPr>
      <t>'Totalt bidrag till Medlemsföreningar'</t>
    </r>
    <r>
      <rPr>
        <sz val="12"/>
        <rFont val="Verdana"/>
      </rPr>
      <t xml:space="preserve"> anges den totala summan som ska gå till bidrag för nya(inklusive år 1 föreningar) och existerande föreningar.</t>
    </r>
  </si>
  <si>
    <t>Bidragspott föreningar (utan år1 och 2)</t>
  </si>
  <si>
    <t>Judekollektivet</t>
  </si>
  <si>
    <t>NJUM</t>
  </si>
  <si>
    <t>Bidragsfördelning 2017</t>
  </si>
  <si>
    <t>Bnei Akiva Malmö</t>
  </si>
  <si>
    <t xml:space="preserve">Änglagård </t>
  </si>
  <si>
    <t>Jeshurun ungdomar (år 2)</t>
  </si>
  <si>
    <t>JDF (år 2)</t>
  </si>
  <si>
    <t>JIFS (år 2)</t>
  </si>
  <si>
    <t>Moishe House (år 2)</t>
  </si>
  <si>
    <t>Nya JF</t>
  </si>
  <si>
    <t xml:space="preserve">Shtujot </t>
  </si>
  <si>
    <t>Unga judar</t>
  </si>
  <si>
    <t>Medlemmar</t>
  </si>
  <si>
    <t>År2</t>
  </si>
  <si>
    <t>Förening</t>
  </si>
  <si>
    <t>Totalt</t>
  </si>
  <si>
    <t>Vid jämntfördelat bidrag</t>
  </si>
  <si>
    <t>Medlemsföreningsunderlag 2018</t>
  </si>
  <si>
    <t>Diff% (utifrån jämnfördelning)</t>
  </si>
  <si>
    <t xml:space="preserve">BUK  </t>
  </si>
  <si>
    <t>Jewcrew &amp; co</t>
  </si>
  <si>
    <t>Bnei Akiva stockholm</t>
  </si>
  <si>
    <t>&lt;------------------</t>
  </si>
  <si>
    <t>Ändra denna siffra till hur stor procent av birdragspotten som grundbidraget ska bestå av</t>
  </si>
  <si>
    <t>Ändra denna siffra till hur stor procent av det som finns till för Totalt Tillägsbidrag som ska tilfalla föreningar som har mellan 100-200 medlemmar</t>
  </si>
  <si>
    <t>Bidrag/medlem vid jämn fördelning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</si>
</sst>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kr&quot;"/>
  </numFmts>
  <fonts count="17" x14ac:knownFonts="1">
    <font>
      <sz val="10"/>
      <name val="Verdana"/>
    </font>
    <font>
      <b/>
      <sz val="20"/>
      <color indexed="8"/>
      <name val="Calibri"/>
    </font>
    <font>
      <sz val="8"/>
      <name val="Verdana"/>
    </font>
    <font>
      <sz val="9"/>
      <color indexed="81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Verdana"/>
    </font>
    <font>
      <b/>
      <sz val="12"/>
      <color indexed="8"/>
      <name val="Verdana"/>
    </font>
    <font>
      <sz val="12"/>
      <name val="Verdana"/>
    </font>
    <font>
      <b/>
      <sz val="12"/>
      <name val="Verdana"/>
    </font>
    <font>
      <i/>
      <sz val="10"/>
      <name val="Verdana"/>
    </font>
    <font>
      <b/>
      <sz val="22"/>
      <name val="Verdana"/>
    </font>
    <font>
      <i/>
      <sz val="12"/>
      <name val="Verdana"/>
    </font>
    <font>
      <b/>
      <sz val="10"/>
      <name val="Calibri"/>
    </font>
    <font>
      <sz val="10"/>
      <name val="Calibri"/>
    </font>
    <font>
      <sz val="10"/>
      <color theme="0" tint="-0.14999847407452621"/>
      <name val="Calibri"/>
    </font>
    <font>
      <b/>
      <sz val="10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A4A4A4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939393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3" borderId="0" xfId="0" applyFill="1"/>
    <xf numFmtId="0" fontId="6" fillId="7" borderId="10" xfId="0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3" fontId="6" fillId="10" borderId="6" xfId="0" applyNumberFormat="1" applyFont="1" applyFill="1" applyBorder="1" applyAlignment="1">
      <alignment horizontal="center"/>
    </xf>
    <xf numFmtId="3" fontId="6" fillId="10" borderId="8" xfId="0" applyNumberFormat="1" applyFont="1" applyFill="1" applyBorder="1" applyAlignment="1">
      <alignment horizont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0" fontId="10" fillId="3" borderId="0" xfId="0" quotePrefix="1" applyFont="1" applyFill="1" applyAlignment="1">
      <alignment vertical="top"/>
    </xf>
    <xf numFmtId="0" fontId="11" fillId="3" borderId="0" xfId="0" applyFont="1" applyFill="1"/>
    <xf numFmtId="0" fontId="8" fillId="3" borderId="0" xfId="0" applyFont="1" applyFill="1" applyAlignment="1">
      <alignment horizontal="right"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6" fillId="7" borderId="7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3" fontId="6" fillId="10" borderId="5" xfId="0" applyNumberFormat="1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10" borderId="10" xfId="0" applyNumberFormat="1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3" fontId="14" fillId="3" borderId="0" xfId="0" applyNumberFormat="1" applyFont="1" applyFill="1"/>
    <xf numFmtId="0" fontId="14" fillId="3" borderId="0" xfId="0" applyFont="1" applyFill="1"/>
    <xf numFmtId="1" fontId="15" fillId="3" borderId="0" xfId="0" applyNumberFormat="1" applyFont="1" applyFill="1"/>
    <xf numFmtId="3" fontId="14" fillId="3" borderId="1" xfId="0" applyNumberFormat="1" applyFont="1" applyFill="1" applyBorder="1"/>
    <xf numFmtId="9" fontId="14" fillId="3" borderId="1" xfId="0" applyNumberFormat="1" applyFont="1" applyFill="1" applyBorder="1"/>
    <xf numFmtId="0" fontId="16" fillId="5" borderId="4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14" fillId="6" borderId="6" xfId="0" applyFont="1" applyFill="1" applyBorder="1"/>
    <xf numFmtId="3" fontId="14" fillId="11" borderId="1" xfId="0" applyNumberFormat="1" applyFont="1" applyFill="1" applyBorder="1"/>
    <xf numFmtId="3" fontId="14" fillId="12" borderId="1" xfId="0" applyNumberFormat="1" applyFont="1" applyFill="1" applyBorder="1"/>
    <xf numFmtId="3" fontId="16" fillId="9" borderId="1" xfId="0" applyNumberFormat="1" applyFont="1" applyFill="1" applyBorder="1"/>
    <xf numFmtId="164" fontId="14" fillId="3" borderId="1" xfId="0" applyNumberFormat="1" applyFont="1" applyFill="1" applyBorder="1"/>
    <xf numFmtId="164" fontId="14" fillId="3" borderId="6" xfId="0" applyNumberFormat="1" applyFont="1" applyFill="1" applyBorder="1"/>
    <xf numFmtId="3" fontId="13" fillId="11" borderId="1" xfId="0" applyNumberFormat="1" applyFont="1" applyFill="1" applyBorder="1"/>
    <xf numFmtId="3" fontId="13" fillId="12" borderId="1" xfId="0" applyNumberFormat="1" applyFont="1" applyFill="1" applyBorder="1"/>
    <xf numFmtId="0" fontId="16" fillId="3" borderId="0" xfId="0" applyFont="1" applyFill="1" applyAlignment="1">
      <alignment horizontal="center"/>
    </xf>
    <xf numFmtId="0" fontId="14" fillId="2" borderId="1" xfId="0" applyFont="1" applyFill="1" applyBorder="1"/>
    <xf numFmtId="3" fontId="14" fillId="10" borderId="1" xfId="0" applyNumberFormat="1" applyFont="1" applyFill="1" applyBorder="1" applyProtection="1">
      <protection locked="0"/>
    </xf>
    <xf numFmtId="0" fontId="14" fillId="8" borderId="6" xfId="0" applyFont="1" applyFill="1" applyBorder="1"/>
    <xf numFmtId="3" fontId="14" fillId="10" borderId="6" xfId="0" applyNumberFormat="1" applyFont="1" applyFill="1" applyBorder="1"/>
    <xf numFmtId="0" fontId="14" fillId="8" borderId="8" xfId="0" applyFont="1" applyFill="1" applyBorder="1"/>
    <xf numFmtId="3" fontId="14" fillId="10" borderId="8" xfId="0" applyNumberFormat="1" applyFont="1" applyFill="1" applyBorder="1"/>
    <xf numFmtId="0" fontId="14" fillId="8" borderId="4" xfId="0" applyFont="1" applyFill="1" applyBorder="1"/>
    <xf numFmtId="3" fontId="14" fillId="10" borderId="4" xfId="0" applyNumberFormat="1" applyFont="1" applyFill="1" applyBorder="1"/>
    <xf numFmtId="0" fontId="14" fillId="4" borderId="1" xfId="0" applyFont="1" applyFill="1" applyBorder="1"/>
    <xf numFmtId="3" fontId="14" fillId="4" borderId="9" xfId="0" applyNumberFormat="1" applyFont="1" applyFill="1" applyBorder="1"/>
    <xf numFmtId="0" fontId="14" fillId="3" borderId="0" xfId="0" applyFont="1" applyFill="1" applyBorder="1"/>
    <xf numFmtId="9" fontId="14" fillId="10" borderId="1" xfId="0" applyNumberFormat="1" applyFont="1" applyFill="1" applyBorder="1" applyProtection="1">
      <protection locked="0"/>
    </xf>
    <xf numFmtId="0" fontId="13" fillId="3" borderId="0" xfId="0" applyFont="1" applyFill="1"/>
    <xf numFmtId="0" fontId="14" fillId="3" borderId="0" xfId="0" applyFont="1" applyFill="1" applyBorder="1" applyAlignment="1">
      <alignment horizontal="right"/>
    </xf>
    <xf numFmtId="0" fontId="14" fillId="5" borderId="5" xfId="0" applyFont="1" applyFill="1" applyBorder="1"/>
    <xf numFmtId="9" fontId="14" fillId="5" borderId="6" xfId="0" applyNumberFormat="1" applyFont="1" applyFill="1" applyBorder="1"/>
    <xf numFmtId="0" fontId="14" fillId="5" borderId="2" xfId="0" applyFont="1" applyFill="1" applyBorder="1"/>
    <xf numFmtId="3" fontId="14" fillId="5" borderId="1" xfId="0" applyNumberFormat="1" applyFont="1" applyFill="1" applyBorder="1"/>
    <xf numFmtId="0" fontId="14" fillId="5" borderId="3" xfId="0" applyFont="1" applyFill="1" applyBorder="1"/>
    <xf numFmtId="3" fontId="14" fillId="5" borderId="4" xfId="0" applyNumberFormat="1" applyFont="1" applyFill="1" applyBorder="1"/>
    <xf numFmtId="1" fontId="14" fillId="3" borderId="0" xfId="0" applyNumberFormat="1" applyFont="1" applyFill="1" applyBorder="1"/>
    <xf numFmtId="1" fontId="14" fillId="3" borderId="0" xfId="0" applyNumberFormat="1" applyFont="1" applyFill="1"/>
    <xf numFmtId="0" fontId="14" fillId="13" borderId="1" xfId="0" applyFont="1" applyFill="1" applyBorder="1"/>
    <xf numFmtId="3" fontId="14" fillId="13" borderId="9" xfId="0" applyNumberFormat="1" applyFont="1" applyFill="1" applyBorder="1"/>
    <xf numFmtId="165" fontId="14" fillId="3" borderId="1" xfId="0" applyNumberFormat="1" applyFont="1" applyFill="1" applyBorder="1"/>
    <xf numFmtId="1" fontId="14" fillId="3" borderId="0" xfId="0" applyNumberFormat="1" applyFont="1" applyFill="1" applyAlignment="1">
      <alignment horizontal="right"/>
    </xf>
    <xf numFmtId="0" fontId="16" fillId="3" borderId="0" xfId="0" applyFont="1" applyFill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</cellXfs>
  <cellStyles count="6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0" formatCode="General"/>
      <fill>
        <patternFill patternType="solid">
          <fgColor indexed="64"/>
          <bgColor rgb="FF3366FF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solid">
          <fgColor indexed="64"/>
          <bgColor rgb="FF3366FF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solid">
          <fgColor indexed="64"/>
          <bgColor rgb="FF9393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solid">
          <fgColor indexed="64"/>
          <bgColor rgb="FF3366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solid">
          <fgColor indexed="64"/>
          <bgColor rgb="FF3366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solid">
          <fgColor indexed="64"/>
          <bgColor rgb="FF939393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auto="1"/>
        </left>
        <right style="medium">
          <color auto="1"/>
        </right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3" formatCode="0%"/>
      <fill>
        <patternFill patternType="solid">
          <fgColor indexed="64"/>
          <bgColor theme="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solid">
          <fgColor indexed="64"/>
          <bgColor theme="6" tint="-0.249977111117893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00B0F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00B0F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00B0F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00B0F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D0D0D0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border outline="0"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rgb="FFA4A4A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ell2" displayName="Tabell2" ref="A34:N55" totalsRowShown="0" headerRowDxfId="25" dataDxfId="23" headerRowBorderDxfId="24" tableBorderDxfId="22">
  <autoFilter ref="A34:N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edlemsförening" dataDxfId="21"/>
    <tableColumn id="2" name="Bidragsgrunande medelmar" dataDxfId="20"/>
    <tableColumn id="3" name="Bidrag ÅR 2 föreningar" dataDxfId="19"/>
    <tableColumn id="4" name="Medelm &lt;100" dataDxfId="18"/>
    <tableColumn id="5" name="Grundbidrag" dataDxfId="17"/>
    <tableColumn id="6" name="Medlemmar 101-200" dataDxfId="16"/>
    <tableColumn id="7" name="Tilläggsbidrag (101-200)" dataDxfId="15"/>
    <tableColumn id="8" name="Medlemmar 201+" dataDxfId="14"/>
    <tableColumn id="9" name="Tilläggsbidrag (201+)" dataDxfId="13"/>
    <tableColumn id="10" name="Totalt bidrag" dataDxfId="12"/>
    <tableColumn id="11" name="Bidrag (%)" dataDxfId="11"/>
    <tableColumn id="12" name="Medlemsantal (%)" dataDxfId="10"/>
    <tableColumn id="13" name="Vid jämntfördelat bidrag" dataDxfId="9"/>
    <tableColumn id="14" name="Diff% (utifrån jämnfördelning)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medlemmar" displayName="medlemmar" ref="A4:C28" totalsRowCount="1" headerRowBorderDxfId="7" tableBorderDxfId="6">
  <autoFilter ref="A4:C27"/>
  <tableColumns count="3">
    <tableColumn id="1" name="Förening" dataDxfId="5" totalsRowDxfId="2"/>
    <tableColumn id="2" name="Medlemmar" totalsRowFunction="custom" dataDxfId="4" totalsRowDxfId="1">
      <totalsRowFormula>SUM(B5:B26)</totalsRowFormula>
    </tableColumn>
    <tableColumn id="3" name="År2" dataDxfId="3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2.x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G20" sqref="G20"/>
    </sheetView>
  </sheetViews>
  <sheetFormatPr baseColWidth="10" defaultRowHeight="16" customHeight="1" x14ac:dyDescent="0.15"/>
  <cols>
    <col min="1" max="1" width="10.83203125" style="1"/>
    <col min="2" max="2" width="10.6640625" style="1" customWidth="1"/>
    <col min="3" max="3" width="5.6640625" style="1" customWidth="1"/>
    <col min="4" max="16384" width="10.83203125" style="1"/>
  </cols>
  <sheetData>
    <row r="1" spans="1:4" ht="32" customHeight="1" x14ac:dyDescent="0.3">
      <c r="A1" s="10" t="s">
        <v>34</v>
      </c>
    </row>
    <row r="2" spans="1:4" ht="23" customHeight="1" x14ac:dyDescent="0.2">
      <c r="A2" s="4" t="s">
        <v>35</v>
      </c>
      <c r="B2" s="3"/>
      <c r="C2" s="3"/>
      <c r="D2" s="3"/>
    </row>
    <row r="3" spans="1:4" ht="16" customHeight="1" x14ac:dyDescent="0.2">
      <c r="A3" s="3"/>
      <c r="B3" s="3"/>
      <c r="C3" s="3"/>
      <c r="D3" s="3"/>
    </row>
    <row r="4" spans="1:4" ht="16" customHeight="1" x14ac:dyDescent="0.2">
      <c r="A4" s="3" t="s">
        <v>57</v>
      </c>
      <c r="B4" s="3"/>
      <c r="C4" s="3"/>
      <c r="D4" s="3"/>
    </row>
    <row r="5" spans="1:4" ht="16" customHeight="1" x14ac:dyDescent="0.2">
      <c r="A5" s="3" t="s">
        <v>59</v>
      </c>
      <c r="B5" s="3"/>
      <c r="C5" s="3"/>
      <c r="D5" s="3"/>
    </row>
    <row r="6" spans="1:4" ht="16" customHeight="1" x14ac:dyDescent="0.2">
      <c r="A6" s="3" t="s">
        <v>58</v>
      </c>
      <c r="B6" s="3"/>
      <c r="C6" s="3"/>
      <c r="D6" s="3"/>
    </row>
    <row r="7" spans="1:4" ht="16" customHeight="1" x14ac:dyDescent="0.2">
      <c r="A7" s="3"/>
      <c r="B7" s="3"/>
      <c r="C7" s="3"/>
      <c r="D7" s="3"/>
    </row>
    <row r="8" spans="1:4" ht="16" customHeight="1" x14ac:dyDescent="0.2">
      <c r="A8" s="4" t="s">
        <v>36</v>
      </c>
      <c r="B8" s="3"/>
      <c r="C8" s="3"/>
      <c r="D8" s="3"/>
    </row>
    <row r="9" spans="1:4" ht="16" customHeight="1" x14ac:dyDescent="0.2">
      <c r="A9" s="3"/>
      <c r="B9" s="3"/>
      <c r="C9" s="3"/>
      <c r="D9" s="3"/>
    </row>
    <row r="10" spans="1:4" s="8" customFormat="1" ht="20" customHeight="1" x14ac:dyDescent="0.15">
      <c r="A10" s="11"/>
      <c r="B10" s="14" t="s">
        <v>46</v>
      </c>
      <c r="C10" s="12"/>
      <c r="D10" s="12"/>
    </row>
    <row r="11" spans="1:4" s="8" customFormat="1" ht="20" customHeight="1" x14ac:dyDescent="0.15">
      <c r="A11" s="11"/>
      <c r="B11" s="11" t="s">
        <v>39</v>
      </c>
      <c r="C11" s="12" t="s">
        <v>43</v>
      </c>
      <c r="D11" s="12"/>
    </row>
    <row r="12" spans="1:4" s="8" customFormat="1" ht="20" customHeight="1" x14ac:dyDescent="0.15">
      <c r="A12" s="11"/>
      <c r="B12" s="11" t="s">
        <v>40</v>
      </c>
      <c r="C12" s="12" t="s">
        <v>60</v>
      </c>
      <c r="D12" s="12"/>
    </row>
    <row r="13" spans="1:4" s="8" customFormat="1" ht="20" customHeight="1" x14ac:dyDescent="0.15">
      <c r="A13" s="12"/>
      <c r="B13" s="11" t="s">
        <v>41</v>
      </c>
      <c r="C13" s="12" t="s">
        <v>42</v>
      </c>
      <c r="D13" s="12"/>
    </row>
    <row r="14" spans="1:4" s="8" customFormat="1" ht="20" customHeight="1" x14ac:dyDescent="0.15">
      <c r="A14" s="12"/>
      <c r="B14" s="12"/>
      <c r="C14" s="12" t="s">
        <v>45</v>
      </c>
      <c r="D14" s="12"/>
    </row>
    <row r="15" spans="1:4" s="8" customFormat="1" ht="20" customHeight="1" x14ac:dyDescent="0.15">
      <c r="A15" s="12"/>
      <c r="B15" s="12"/>
      <c r="C15" s="13"/>
      <c r="D15" s="12"/>
    </row>
    <row r="16" spans="1:4" s="8" customFormat="1" ht="20" customHeight="1" x14ac:dyDescent="0.15">
      <c r="A16" s="11"/>
      <c r="B16" s="12" t="s">
        <v>47</v>
      </c>
      <c r="C16" s="13"/>
      <c r="D16" s="12"/>
    </row>
    <row r="17" spans="1:4" s="8" customFormat="1" ht="20" customHeight="1" x14ac:dyDescent="0.15">
      <c r="A17" s="11"/>
      <c r="B17" s="11" t="s">
        <v>39</v>
      </c>
      <c r="C17" s="12" t="s">
        <v>48</v>
      </c>
      <c r="D17" s="12"/>
    </row>
    <row r="18" spans="1:4" s="8" customFormat="1" ht="20" customHeight="1" x14ac:dyDescent="0.15">
      <c r="A18" s="12"/>
      <c r="B18" s="12"/>
      <c r="C18" s="11" t="s">
        <v>37</v>
      </c>
      <c r="D18" s="12" t="s">
        <v>61</v>
      </c>
    </row>
    <row r="19" spans="1:4" s="8" customFormat="1" ht="20" customHeight="1" x14ac:dyDescent="0.15">
      <c r="A19" s="12"/>
      <c r="B19" s="12"/>
      <c r="C19" s="11" t="s">
        <v>38</v>
      </c>
      <c r="D19" s="12" t="s">
        <v>53</v>
      </c>
    </row>
    <row r="20" spans="1:4" s="8" customFormat="1" ht="20" customHeight="1" x14ac:dyDescent="0.15">
      <c r="A20" s="12"/>
      <c r="B20" s="12"/>
      <c r="C20" s="11" t="s">
        <v>49</v>
      </c>
      <c r="D20" s="12" t="s">
        <v>54</v>
      </c>
    </row>
    <row r="21" spans="1:4" s="8" customFormat="1" ht="20" customHeight="1" x14ac:dyDescent="0.15">
      <c r="A21" s="12"/>
      <c r="B21" s="12"/>
      <c r="C21" s="11" t="s">
        <v>50</v>
      </c>
      <c r="D21" s="12" t="s">
        <v>55</v>
      </c>
    </row>
    <row r="22" spans="1:4" s="8" customFormat="1" ht="20" customHeight="1" x14ac:dyDescent="0.15">
      <c r="A22" s="12"/>
      <c r="B22" s="12"/>
      <c r="C22" s="11" t="s">
        <v>51</v>
      </c>
      <c r="D22" s="12" t="s">
        <v>56</v>
      </c>
    </row>
    <row r="23" spans="1:4" s="8" customFormat="1" ht="20" customHeight="1" x14ac:dyDescent="0.15">
      <c r="A23" s="12"/>
      <c r="B23" s="11"/>
      <c r="C23" s="12"/>
      <c r="D23" s="12" t="s">
        <v>52</v>
      </c>
    </row>
    <row r="24" spans="1:4" s="8" customFormat="1" ht="20" customHeight="1" x14ac:dyDescent="0.15">
      <c r="B24" s="7"/>
    </row>
    <row r="25" spans="1:4" s="8" customFormat="1" ht="20" customHeight="1" x14ac:dyDescent="0.15"/>
    <row r="26" spans="1:4" s="8" customFormat="1" ht="20" customHeight="1" x14ac:dyDescent="0.15">
      <c r="B26" s="7"/>
      <c r="C26" s="9"/>
    </row>
    <row r="27" spans="1:4" s="8" customFormat="1" ht="20" customHeight="1" x14ac:dyDescent="0.15">
      <c r="B27" s="7"/>
      <c r="C27" s="9"/>
    </row>
    <row r="28" spans="1:4" s="8" customFormat="1" ht="20" customHeight="1" x14ac:dyDescent="0.15"/>
  </sheetData>
  <pageMargins left="0.75" right="0.75" top="1" bottom="1" header="0.5" footer="0.5"/>
  <pageSetup paperSize="9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tabSelected="1" topLeftCell="A32" zoomScale="115" workbookViewId="0">
      <pane xSplit="1" topLeftCell="B1" activePane="topRight" state="frozen"/>
      <selection activeCell="A24" sqref="A24"/>
      <selection pane="topRight" activeCell="B26" sqref="B26"/>
    </sheetView>
  </sheetViews>
  <sheetFormatPr baseColWidth="10" defaultRowHeight="14" outlineLevelCol="1" x14ac:dyDescent="0.2"/>
  <cols>
    <col min="1" max="1" width="28.83203125" style="26" customWidth="1"/>
    <col min="2" max="2" width="13.1640625" style="26" customWidth="1" outlineLevel="1"/>
    <col min="3" max="3" width="11.83203125" style="26" customWidth="1" outlineLevel="1"/>
    <col min="4" max="4" width="13.83203125" style="26" customWidth="1" outlineLevel="1"/>
    <col min="5" max="5" width="13" style="26" customWidth="1" outlineLevel="1"/>
    <col min="6" max="6" width="12" style="26" customWidth="1" outlineLevel="1"/>
    <col min="7" max="7" width="13" style="26" customWidth="1" outlineLevel="1"/>
    <col min="8" max="8" width="11.1640625" style="26" customWidth="1" outlineLevel="1"/>
    <col min="9" max="9" width="12.5" style="26" customWidth="1" outlineLevel="1"/>
    <col min="10" max="10" width="9.1640625" style="26" customWidth="1"/>
    <col min="11" max="11" width="6.83203125" style="26" hidden="1" customWidth="1" outlineLevel="1"/>
    <col min="12" max="12" width="11.5" style="26" hidden="1" customWidth="1" outlineLevel="1"/>
    <col min="13" max="13" width="14.33203125" style="26" hidden="1" customWidth="1" outlineLevel="1"/>
    <col min="14" max="14" width="14.6640625" style="26" hidden="1" customWidth="1" outlineLevel="1"/>
    <col min="15" max="15" width="11.5" style="26" bestFit="1" customWidth="1" collapsed="1"/>
    <col min="16" max="16" width="11.5" style="26" bestFit="1" customWidth="1"/>
    <col min="17" max="16384" width="10.83203125" style="26"/>
  </cols>
  <sheetData>
    <row r="1" spans="1:11" x14ac:dyDescent="0.2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5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6" customHeight="1" thickBot="1" x14ac:dyDescent="0.25">
      <c r="A3" s="41" t="s">
        <v>44</v>
      </c>
      <c r="B3" s="42">
        <v>600000</v>
      </c>
    </row>
    <row r="4" spans="1:11" ht="16" customHeight="1" thickBot="1" x14ac:dyDescent="0.25"/>
    <row r="5" spans="1:11" ht="16" customHeight="1" thickBot="1" x14ac:dyDescent="0.25">
      <c r="A5" s="41" t="s">
        <v>9</v>
      </c>
      <c r="B5" s="42">
        <v>10000</v>
      </c>
    </row>
    <row r="6" spans="1:11" ht="16" customHeight="1" thickBot="1" x14ac:dyDescent="0.25"/>
    <row r="7" spans="1:11" ht="16" customHeight="1" thickBot="1" x14ac:dyDescent="0.25">
      <c r="A7" s="41" t="s">
        <v>22</v>
      </c>
    </row>
    <row r="8" spans="1:11" ht="16" customHeight="1" x14ac:dyDescent="0.2">
      <c r="A8" s="43" t="s">
        <v>10</v>
      </c>
      <c r="B8" s="44">
        <v>5000</v>
      </c>
    </row>
    <row r="9" spans="1:11" ht="16" customHeight="1" x14ac:dyDescent="0.2">
      <c r="A9" s="45" t="s">
        <v>11</v>
      </c>
      <c r="B9" s="46">
        <v>7000</v>
      </c>
    </row>
    <row r="10" spans="1:11" ht="16" customHeight="1" x14ac:dyDescent="0.2">
      <c r="A10" s="45" t="s">
        <v>17</v>
      </c>
      <c r="B10" s="46">
        <v>9000</v>
      </c>
    </row>
    <row r="11" spans="1:11" ht="16" customHeight="1" x14ac:dyDescent="0.2">
      <c r="A11" s="45" t="s">
        <v>12</v>
      </c>
      <c r="B11" s="46">
        <v>12000</v>
      </c>
    </row>
    <row r="12" spans="1:11" ht="16" customHeight="1" thickBot="1" x14ac:dyDescent="0.25">
      <c r="A12" s="47" t="s">
        <v>13</v>
      </c>
      <c r="B12" s="48">
        <v>15000</v>
      </c>
    </row>
    <row r="13" spans="1:11" ht="16" customHeight="1" thickBot="1" x14ac:dyDescent="0.25">
      <c r="A13" s="49" t="s">
        <v>21</v>
      </c>
      <c r="B13" s="50">
        <f>C55</f>
        <v>49000</v>
      </c>
    </row>
    <row r="14" spans="1:11" ht="16" customHeight="1" thickBot="1" x14ac:dyDescent="0.25">
      <c r="A14" s="51"/>
      <c r="B14" s="51"/>
    </row>
    <row r="15" spans="1:11" ht="16" customHeight="1" thickBot="1" x14ac:dyDescent="0.25">
      <c r="A15" s="49" t="s">
        <v>62</v>
      </c>
      <c r="B15" s="50">
        <f>B3-B5-B13</f>
        <v>541000</v>
      </c>
    </row>
    <row r="16" spans="1:11" ht="16" customHeight="1" thickBot="1" x14ac:dyDescent="0.25"/>
    <row r="17" spans="1:8" ht="16" customHeight="1" thickBot="1" x14ac:dyDescent="0.25">
      <c r="A17" s="49" t="s">
        <v>28</v>
      </c>
      <c r="B17" s="52">
        <v>0.7</v>
      </c>
      <c r="C17" s="26" t="s">
        <v>85</v>
      </c>
      <c r="D17" s="26" t="s">
        <v>86</v>
      </c>
    </row>
    <row r="18" spans="1:8" ht="16" customHeight="1" thickBot="1" x14ac:dyDescent="0.25">
      <c r="A18" s="49" t="s">
        <v>0</v>
      </c>
      <c r="B18" s="50">
        <f>B15*B17</f>
        <v>378700</v>
      </c>
    </row>
    <row r="19" spans="1:8" ht="16" customHeight="1" thickBot="1" x14ac:dyDescent="0.25">
      <c r="A19" s="49" t="s">
        <v>1</v>
      </c>
      <c r="B19" s="50">
        <f>B18/D55</f>
        <v>333.65638766519822</v>
      </c>
    </row>
    <row r="20" spans="1:8" ht="16" customHeight="1" thickBot="1" x14ac:dyDescent="0.25"/>
    <row r="21" spans="1:8" ht="16" customHeight="1" thickBot="1" x14ac:dyDescent="0.25">
      <c r="A21" s="63" t="s">
        <v>88</v>
      </c>
      <c r="B21" s="64">
        <f>B3/B55</f>
        <v>266.54820079964458</v>
      </c>
    </row>
    <row r="22" spans="1:8" ht="16" customHeight="1" thickBot="1" x14ac:dyDescent="0.25"/>
    <row r="23" spans="1:8" ht="16" customHeight="1" thickBot="1" x14ac:dyDescent="0.25">
      <c r="A23" s="49" t="s">
        <v>4</v>
      </c>
      <c r="B23" s="50">
        <f>(B15-B18)</f>
        <v>162300</v>
      </c>
    </row>
    <row r="24" spans="1:8" ht="16" customHeight="1" thickBot="1" x14ac:dyDescent="0.25">
      <c r="C24" s="53"/>
      <c r="D24" s="53"/>
      <c r="E24" s="53"/>
    </row>
    <row r="25" spans="1:8" ht="16" customHeight="1" thickBot="1" x14ac:dyDescent="0.25">
      <c r="A25" s="49" t="s">
        <v>19</v>
      </c>
      <c r="B25" s="52">
        <v>0.6</v>
      </c>
      <c r="C25" s="26" t="s">
        <v>85</v>
      </c>
      <c r="D25" s="69" t="s">
        <v>87</v>
      </c>
      <c r="E25" s="69"/>
      <c r="F25" s="69"/>
      <c r="G25" s="69"/>
    </row>
    <row r="26" spans="1:8" ht="16" customHeight="1" thickBot="1" x14ac:dyDescent="0.25">
      <c r="A26" s="49" t="s">
        <v>20</v>
      </c>
      <c r="B26" s="50">
        <f>B23*B25</f>
        <v>97380</v>
      </c>
      <c r="D26" s="69"/>
      <c r="E26" s="69"/>
      <c r="F26" s="69"/>
      <c r="G26" s="69"/>
    </row>
    <row r="27" spans="1:8" ht="16" customHeight="1" thickBot="1" x14ac:dyDescent="0.25">
      <c r="A27" s="49" t="s">
        <v>29</v>
      </c>
      <c r="B27" s="50">
        <f>B26/F55</f>
        <v>197.92682926829269</v>
      </c>
      <c r="F27" s="51"/>
    </row>
    <row r="28" spans="1:8" ht="16" customHeight="1" thickBot="1" x14ac:dyDescent="0.25">
      <c r="F28" s="68"/>
      <c r="G28" s="68"/>
      <c r="H28" s="54"/>
    </row>
    <row r="29" spans="1:8" ht="16" customHeight="1" thickBot="1" x14ac:dyDescent="0.25">
      <c r="A29" s="55" t="s">
        <v>18</v>
      </c>
      <c r="B29" s="56">
        <v>0</v>
      </c>
    </row>
    <row r="30" spans="1:8" ht="16" customHeight="1" thickBot="1" x14ac:dyDescent="0.25">
      <c r="A30" s="57" t="s">
        <v>24</v>
      </c>
      <c r="B30" s="58">
        <f>B23-B26</f>
        <v>64920</v>
      </c>
      <c r="F30" s="53"/>
      <c r="G30" s="53"/>
    </row>
    <row r="31" spans="1:8" ht="16" customHeight="1" thickBot="1" x14ac:dyDescent="0.25">
      <c r="A31" s="59" t="s">
        <v>30</v>
      </c>
      <c r="B31" s="60">
        <f>B30/H55</f>
        <v>104.03846153846153</v>
      </c>
      <c r="F31" s="53"/>
      <c r="G31" s="53"/>
    </row>
    <row r="32" spans="1:8" ht="16" customHeight="1" x14ac:dyDescent="0.2">
      <c r="C32" s="53"/>
      <c r="D32" s="53"/>
      <c r="E32" s="53"/>
      <c r="F32" s="61"/>
    </row>
    <row r="33" spans="1:14" ht="16" customHeight="1" x14ac:dyDescent="0.2"/>
    <row r="34" spans="1:14" s="24" customFormat="1" ht="36" customHeight="1" thickBot="1" x14ac:dyDescent="0.2">
      <c r="A34" s="30" t="s">
        <v>31</v>
      </c>
      <c r="B34" s="31" t="s">
        <v>16</v>
      </c>
      <c r="C34" s="31" t="s">
        <v>23</v>
      </c>
      <c r="D34" s="31" t="s">
        <v>5</v>
      </c>
      <c r="E34" s="31" t="s">
        <v>0</v>
      </c>
      <c r="F34" s="31" t="s">
        <v>25</v>
      </c>
      <c r="G34" s="31" t="s">
        <v>20</v>
      </c>
      <c r="H34" s="31" t="s">
        <v>26</v>
      </c>
      <c r="I34" s="31" t="s">
        <v>27</v>
      </c>
      <c r="J34" s="31" t="s">
        <v>6</v>
      </c>
      <c r="K34" s="31" t="s">
        <v>32</v>
      </c>
      <c r="L34" s="31" t="s">
        <v>33</v>
      </c>
      <c r="M34" s="31" t="s">
        <v>79</v>
      </c>
      <c r="N34" s="31" t="s">
        <v>81</v>
      </c>
    </row>
    <row r="35" spans="1:14" ht="16" customHeight="1" thickBot="1" x14ac:dyDescent="0.25">
      <c r="A35" s="32" t="str">
        <f>'Medlemsföreningsunderlag 2018'!A5</f>
        <v xml:space="preserve">BUK  </v>
      </c>
      <c r="B35" s="33">
        <v>66</v>
      </c>
      <c r="C35" s="34">
        <f>IF(VLOOKUP(A35,medlemmar[],3,0)=1,IF(B35&lt;11,$B$8,IF(B35&lt;21,$B$9,IF(B35&lt;41,$B$10,IF(B35&lt;71,$B$11,IF(B35&gt;70,$B$12,0))))),0)</f>
        <v>0</v>
      </c>
      <c r="D35" s="33">
        <f>IF(VLOOKUP(A35,medlemmar[],3,0)=0,IF($B35&lt;=100,$B35,100),0)</f>
        <v>66</v>
      </c>
      <c r="E35" s="34">
        <f>IF(D35&gt;0,$B$19*D35,0)</f>
        <v>22021.321585903082</v>
      </c>
      <c r="F35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35" s="34">
        <f>F35*$B$27</f>
        <v>0</v>
      </c>
      <c r="H35" s="33">
        <f>IF(Tabell2[[#This Row],[Bidrag ÅR 2 föreningar]]&gt;0,0,IF(B35&gt;200,B35-200,0))</f>
        <v>0</v>
      </c>
      <c r="I35" s="34">
        <f>H35*$B$31</f>
        <v>0</v>
      </c>
      <c r="J35" s="35">
        <f>C35+E35+G35+I35</f>
        <v>22021.321585903082</v>
      </c>
      <c r="K35" s="36">
        <f>J35/$B$3</f>
        <v>3.6702202643171804E-2</v>
      </c>
      <c r="L35" s="37">
        <f>(B35)/($B$55)</f>
        <v>2.9320302087960905E-2</v>
      </c>
      <c r="M35" s="28">
        <f>VLOOKUP(Tabell2[[#This Row],[Medlemsförening]],medlemmar[[#All],[Förening]:[Medlemmar]],2,0)*$M$56</f>
        <v>14705.167173252281</v>
      </c>
      <c r="N35" s="29">
        <f>IFERROR((J35-M35)/M35,0)</f>
        <v>0.49752269569287172</v>
      </c>
    </row>
    <row r="36" spans="1:14" ht="16" customHeight="1" thickBot="1" x14ac:dyDescent="0.25">
      <c r="A36" s="32" t="str">
        <f>'Medlemsföreningsunderlag 2018'!A6</f>
        <v>Bnei Akiva Malmö</v>
      </c>
      <c r="B36" s="33">
        <v>267</v>
      </c>
      <c r="C36" s="34">
        <f>IF(VLOOKUP(A36,medlemmar[],3,0)=1,IF(B36&lt;11,$B$8,IF(B36&lt;21,$B$9,IF(B36&lt;41,$B$10,IF(B36&lt;71,$B$11,IF(B36&gt;70,$B$12,0))))),0)</f>
        <v>0</v>
      </c>
      <c r="D36" s="33">
        <f>IF(VLOOKUP(A36,medlemmar[],3,0)=0,IF($B36&lt;=100,$B36,100),0)</f>
        <v>100</v>
      </c>
      <c r="E36" s="34">
        <f>IF(D36&gt;0,$B$19*D36,0)</f>
        <v>33365.63876651982</v>
      </c>
      <c r="F36" s="33">
        <f>IF(Tabell2[[#This Row],[Bidrag ÅR 2 föreningar]]&gt;0,0,IF(Tabell2[[#This Row],[Bidragsgrunande medelmar]]&lt;100,0,IF(Tabell2[[#This Row],[Bidragsgrunande medelmar]]&lt;200,(Tabell2[[#This Row],[Bidragsgrunande medelmar]]-100),100)))</f>
        <v>100</v>
      </c>
      <c r="G36" s="34">
        <f t="shared" ref="G36:G53" si="0">F36*$B$27</f>
        <v>19792.682926829268</v>
      </c>
      <c r="H36" s="33">
        <f>IF(Tabell2[[#This Row],[Bidrag ÅR 2 föreningar]]&gt;0,0,IF(B36&gt;200,B36-200,0))</f>
        <v>67</v>
      </c>
      <c r="I36" s="34">
        <f t="shared" ref="I36:I53" si="1">H36*$B$31</f>
        <v>6970.5769230769229</v>
      </c>
      <c r="J36" s="35">
        <f t="shared" ref="J36:J53" si="2">C36+E36+G36+I36</f>
        <v>60128.898616426013</v>
      </c>
      <c r="K36" s="36">
        <f t="shared" ref="K36:K53" si="3">J36/$B$3</f>
        <v>0.10021483102737669</v>
      </c>
      <c r="L36" s="37">
        <f t="shared" ref="L36:L53" si="4">(B36)/($B$55)</f>
        <v>0.11861394935584185</v>
      </c>
      <c r="M36" s="28">
        <f>VLOOKUP(Tabell2[[#This Row],[Medlemsförening]],medlemmar[[#All],[Förening]:[Medlemmar]],2,0)*$M$56</f>
        <v>63483.282674772039</v>
      </c>
      <c r="N36" s="29">
        <f t="shared" ref="N36:N53" si="5">IFERROR((J36-M36)/M36,0)</f>
        <v>-5.2838856420369743E-2</v>
      </c>
    </row>
    <row r="37" spans="1:14" ht="16" customHeight="1" thickBot="1" x14ac:dyDescent="0.25">
      <c r="A37" s="32" t="str">
        <f>'Medlemsföreningsunderlag 2018'!A7</f>
        <v xml:space="preserve">Änglagård </v>
      </c>
      <c r="B37" s="33">
        <v>95</v>
      </c>
      <c r="C37" s="34">
        <f>IF(VLOOKUP(A37,medlemmar[],3,0)=1,IF(B37&lt;11,$B$8,IF(B37&lt;21,$B$9,IF(B37&lt;41,$B$10,IF(B37&lt;71,$B$11,IF(B37&gt;70,$B$12,0))))),0)</f>
        <v>0</v>
      </c>
      <c r="D37" s="33">
        <f>IF(VLOOKUP(A37,medlemmar[],3,0)=0,IF($B37&lt;=100,$B37,100),0)</f>
        <v>95</v>
      </c>
      <c r="E37" s="34">
        <f t="shared" ref="E37:E53" si="6">IF(D37&gt;0,$B$19*D37,0)</f>
        <v>31697.356828193831</v>
      </c>
      <c r="F37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37" s="34">
        <f t="shared" si="0"/>
        <v>0</v>
      </c>
      <c r="H37" s="33">
        <f>IF(Tabell2[[#This Row],[Bidrag ÅR 2 föreningar]]&gt;0,0,IF(B37&gt;200,B37-200,0))</f>
        <v>0</v>
      </c>
      <c r="I37" s="34">
        <f t="shared" si="1"/>
        <v>0</v>
      </c>
      <c r="J37" s="35">
        <f t="shared" si="2"/>
        <v>31697.356828193831</v>
      </c>
      <c r="K37" s="36">
        <f t="shared" si="3"/>
        <v>5.2828928046989722E-2</v>
      </c>
      <c r="L37" s="37">
        <f t="shared" si="4"/>
        <v>4.2203465126610398E-2</v>
      </c>
      <c r="M37" s="28">
        <f>VLOOKUP(Tabell2[[#This Row],[Medlemsförening]],medlemmar[[#All],[Förening]:[Medlemmar]],2,0)*$M$56</f>
        <v>24389.057750759879</v>
      </c>
      <c r="N37" s="29">
        <f t="shared" si="5"/>
        <v>0.29965483505430834</v>
      </c>
    </row>
    <row r="38" spans="1:14" ht="16" customHeight="1" thickBot="1" x14ac:dyDescent="0.25">
      <c r="A38" s="32" t="str">
        <f>'Medlemsföreningsunderlag 2018'!A8</f>
        <v>Jeshurun ungdomar (år 2)</v>
      </c>
      <c r="B38" s="33">
        <f>VLOOKUP(A38,medlemmar[],2,0)</f>
        <v>0</v>
      </c>
      <c r="C38" s="34">
        <v>7000</v>
      </c>
      <c r="D38" s="33">
        <f>IF(VLOOKUP(A38,medlemmar[],3,0)=0,IF($B38&lt;=100,$B38,100),0)</f>
        <v>0</v>
      </c>
      <c r="E38" s="34">
        <f t="shared" si="6"/>
        <v>0</v>
      </c>
      <c r="F38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38" s="34">
        <f t="shared" si="0"/>
        <v>0</v>
      </c>
      <c r="H38" s="33">
        <f>IF(Tabell2[[#This Row],[Bidrag ÅR 2 föreningar]]&gt;0,0,IF(B38&gt;200,B38-200,0))</f>
        <v>0</v>
      </c>
      <c r="I38" s="34">
        <f t="shared" si="1"/>
        <v>0</v>
      </c>
      <c r="J38" s="35">
        <f t="shared" si="2"/>
        <v>7000</v>
      </c>
      <c r="K38" s="36">
        <f t="shared" si="3"/>
        <v>1.1666666666666667E-2</v>
      </c>
      <c r="L38" s="37">
        <f t="shared" si="4"/>
        <v>0</v>
      </c>
      <c r="M38" s="28">
        <f>VLOOKUP(Tabell2[[#This Row],[Medlemsförening]],medlemmar[[#All],[Förening]:[Medlemmar]],2,0)*$M$56</f>
        <v>0</v>
      </c>
      <c r="N38" s="29">
        <f t="shared" si="5"/>
        <v>0</v>
      </c>
    </row>
    <row r="39" spans="1:14" ht="16" customHeight="1" thickBot="1" x14ac:dyDescent="0.25">
      <c r="A39" s="32" t="str">
        <f>'Medlemsföreningsunderlag 2018'!A9</f>
        <v>Jewcrew &amp; co</v>
      </c>
      <c r="B39" s="33">
        <f>VLOOKUP(A39,medlemmar[],2,0)</f>
        <v>24</v>
      </c>
      <c r="C39" s="34">
        <f>IF(VLOOKUP(A39,medlemmar[],3,0)=1,IF(B39&lt;11,$B$8,IF(B39&lt;21,$B$9,IF(B39&lt;41,$B$10,IF(B39&lt;71,$B$11,IF(B39&gt;70,$B$12,0))))),0)</f>
        <v>0</v>
      </c>
      <c r="D39" s="33">
        <f>IF(VLOOKUP(A39,medlemmar[],3,0)=0,IF($B39&lt;=100,$B39,100),0)</f>
        <v>24</v>
      </c>
      <c r="E39" s="34">
        <f t="shared" si="6"/>
        <v>8007.7533039647569</v>
      </c>
      <c r="F39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39" s="34">
        <f t="shared" si="0"/>
        <v>0</v>
      </c>
      <c r="H39" s="33">
        <f>IF(Tabell2[[#This Row],[Bidrag ÅR 2 föreningar]]&gt;0,0,IF(B39&gt;200,B39-200,0))</f>
        <v>0</v>
      </c>
      <c r="I39" s="34">
        <f t="shared" si="1"/>
        <v>0</v>
      </c>
      <c r="J39" s="35">
        <f t="shared" si="2"/>
        <v>8007.7533039647569</v>
      </c>
      <c r="K39" s="36">
        <f t="shared" si="3"/>
        <v>1.3346255506607929E-2</v>
      </c>
      <c r="L39" s="37">
        <f t="shared" si="4"/>
        <v>1.0661928031985785E-2</v>
      </c>
      <c r="M39" s="28">
        <f>VLOOKUP(Tabell2[[#This Row],[Medlemsförening]],medlemmar[[#All],[Förening]:[Medlemmar]],2,0)*$M$56</f>
        <v>8607.9027355623111</v>
      </c>
      <c r="N39" s="29">
        <f t="shared" si="5"/>
        <v>-6.9720749645337324E-2</v>
      </c>
    </row>
    <row r="40" spans="1:14" ht="16" customHeight="1" thickBot="1" x14ac:dyDescent="0.25">
      <c r="A40" s="32" t="str">
        <f>'Medlemsföreningsunderlag 2018'!A10</f>
        <v>Judekollektivet</v>
      </c>
      <c r="B40" s="33">
        <v>44</v>
      </c>
      <c r="C40" s="34">
        <f>IF(VLOOKUP(A40,medlemmar[],3,0)=1,IF(B40&lt;11,$B$8,IF(B40&lt;21,$B$9,IF(B40&lt;41,$B$10,IF(B40&lt;71,$B$11,IF(B40&gt;70,$B$12,0))))),0)</f>
        <v>0</v>
      </c>
      <c r="D40" s="33">
        <f>IF(VLOOKUP(A40,medlemmar[],3,0)=0,IF($B40&lt;=100,$B40,100),0)</f>
        <v>44</v>
      </c>
      <c r="E40" s="34">
        <f t="shared" si="6"/>
        <v>14680.881057268722</v>
      </c>
      <c r="F40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40" s="34">
        <f t="shared" si="0"/>
        <v>0</v>
      </c>
      <c r="H40" s="33">
        <f>IF(Tabell2[[#This Row],[Bidrag ÅR 2 föreningar]]&gt;0,0,IF(B40&gt;200,B40-200,0))</f>
        <v>0</v>
      </c>
      <c r="I40" s="34">
        <f t="shared" si="1"/>
        <v>0</v>
      </c>
      <c r="J40" s="35">
        <f t="shared" si="2"/>
        <v>14680.881057268722</v>
      </c>
      <c r="K40" s="36">
        <f t="shared" si="3"/>
        <v>2.446813509544787E-2</v>
      </c>
      <c r="L40" s="37">
        <f t="shared" si="4"/>
        <v>1.9546868058640605E-2</v>
      </c>
      <c r="M40" s="28">
        <f>VLOOKUP(Tabell2[[#This Row],[Medlemsförening]],medlemmar[[#All],[Förening]:[Medlemmar]],2,0)*$M$56</f>
        <v>10401.215805471125</v>
      </c>
      <c r="N40" s="29">
        <f t="shared" si="5"/>
        <v>0.41145817295190212</v>
      </c>
    </row>
    <row r="41" spans="1:14" ht="16" customHeight="1" thickBot="1" x14ac:dyDescent="0.25">
      <c r="A41" s="32" t="str">
        <f>'Medlemsföreningsunderlag 2018'!A11</f>
        <v>JSG</v>
      </c>
      <c r="B41" s="33">
        <v>251</v>
      </c>
      <c r="C41" s="34">
        <f>IF(VLOOKUP(A41,medlemmar[],3,0)=1,IF(B41&lt;11,$B$8,IF(B41&lt;21,$B$9,IF(B41&lt;41,$B$10,IF(B41&lt;71,$B$11,IF(B41&gt;70,$B$12,0))))),0)</f>
        <v>0</v>
      </c>
      <c r="D41" s="33">
        <f>IF(VLOOKUP(A41,medlemmar[],3,0)=0,IF($B41&lt;=100,$B41,100),0)</f>
        <v>100</v>
      </c>
      <c r="E41" s="34">
        <f t="shared" si="6"/>
        <v>33365.63876651982</v>
      </c>
      <c r="F41" s="33">
        <f>IF(Tabell2[[#This Row],[Bidrag ÅR 2 föreningar]]&gt;0,0,IF(Tabell2[[#This Row],[Bidragsgrunande medelmar]]&lt;100,0,IF(Tabell2[[#This Row],[Bidragsgrunande medelmar]]&lt;200,(Tabell2[[#This Row],[Bidragsgrunande medelmar]]-100),100)))</f>
        <v>100</v>
      </c>
      <c r="G41" s="34">
        <f t="shared" si="0"/>
        <v>19792.682926829268</v>
      </c>
      <c r="H41" s="33">
        <f>IF(Tabell2[[#This Row],[Bidrag ÅR 2 föreningar]]&gt;0,0,IF(B41&gt;200,B41-200,0))</f>
        <v>51</v>
      </c>
      <c r="I41" s="34">
        <f t="shared" si="1"/>
        <v>5305.9615384615381</v>
      </c>
      <c r="J41" s="35">
        <f t="shared" si="2"/>
        <v>58464.28323181063</v>
      </c>
      <c r="K41" s="36">
        <f>J41/$B$3</f>
        <v>9.7440472053017715E-2</v>
      </c>
      <c r="L41" s="37">
        <f t="shared" si="4"/>
        <v>0.11150599733451799</v>
      </c>
      <c r="M41" s="28">
        <f>VLOOKUP(Tabell2[[#This Row],[Medlemsförening]],medlemmar[[#All],[Förening]:[Medlemmar]],2,0)*$M$56</f>
        <v>54516.717325227968</v>
      </c>
      <c r="N41" s="29">
        <f t="shared" si="5"/>
        <v>7.2410190860041024E-2</v>
      </c>
    </row>
    <row r="42" spans="1:14" ht="16" customHeight="1" thickBot="1" x14ac:dyDescent="0.25">
      <c r="A42" s="32" t="str">
        <f>'Medlemsföreningsunderlag 2018'!A12</f>
        <v>JUGBG</v>
      </c>
      <c r="B42" s="33">
        <v>130</v>
      </c>
      <c r="C42" s="34">
        <f>IF(VLOOKUP(A42,medlemmar[],3,0)=1,IF(B42&lt;11,$B$8,IF(B42&lt;21,$B$9,IF(B42&lt;41,$B$10,IF(B42&lt;71,$B$11,IF(B42&gt;70,$B$12,0))))),0)</f>
        <v>0</v>
      </c>
      <c r="D42" s="33">
        <f>IF(VLOOKUP(A42,medlemmar[],3,0)=0,IF($B42&lt;=100,$B42,100),0)</f>
        <v>100</v>
      </c>
      <c r="E42" s="34">
        <f t="shared" si="6"/>
        <v>33365.63876651982</v>
      </c>
      <c r="F42" s="33">
        <f>IF(Tabell2[[#This Row],[Bidrag ÅR 2 föreningar]]&gt;0,0,IF(Tabell2[[#This Row],[Bidragsgrunande medelmar]]&lt;100,0,IF(Tabell2[[#This Row],[Bidragsgrunande medelmar]]&lt;200,(Tabell2[[#This Row],[Bidragsgrunande medelmar]]-100),100)))</f>
        <v>30</v>
      </c>
      <c r="G42" s="34">
        <f t="shared" si="0"/>
        <v>5937.8048780487807</v>
      </c>
      <c r="H42" s="33">
        <f>IF(Tabell2[[#This Row],[Bidrag ÅR 2 föreningar]]&gt;0,0,IF(B42&gt;200,B42-200,0))</f>
        <v>0</v>
      </c>
      <c r="I42" s="34">
        <f t="shared" si="1"/>
        <v>0</v>
      </c>
      <c r="J42" s="35">
        <f t="shared" si="2"/>
        <v>39303.443644568601</v>
      </c>
      <c r="K42" s="36">
        <f t="shared" si="3"/>
        <v>6.5505739407614338E-2</v>
      </c>
      <c r="L42" s="37">
        <f t="shared" si="4"/>
        <v>5.7752110173256328E-2</v>
      </c>
      <c r="M42" s="28">
        <f>VLOOKUP(Tabell2[[#This Row],[Medlemsförening]],medlemmar[[#All],[Förening]:[Medlemmar]],2,0)*$M$56</f>
        <v>38735.5623100304</v>
      </c>
      <c r="N42" s="29">
        <f t="shared" si="5"/>
        <v>1.4660464458809473E-2</v>
      </c>
    </row>
    <row r="43" spans="1:14" ht="16" customHeight="1" thickBot="1" x14ac:dyDescent="0.25">
      <c r="A43" s="32" t="str">
        <f>'Medlemsföreningsunderlag 2018'!A13</f>
        <v>JUSK</v>
      </c>
      <c r="B43" s="33">
        <v>173</v>
      </c>
      <c r="C43" s="34">
        <f>IF(VLOOKUP(A43,medlemmar[],3,0)=1,IF(B43&lt;11,$B$8,IF(B43&lt;21,$B$9,IF(B43&lt;41,$B$10,IF(B43&lt;71,$B$11,IF(B43&gt;70,$B$12,0))))),0)</f>
        <v>0</v>
      </c>
      <c r="D43" s="33">
        <f>IF(VLOOKUP(A43,medlemmar[],3,0)=0,IF($B43&lt;=100,$B43,100),0)</f>
        <v>100</v>
      </c>
      <c r="E43" s="34">
        <f t="shared" si="6"/>
        <v>33365.63876651982</v>
      </c>
      <c r="F43" s="33">
        <f>IF(Tabell2[[#This Row],[Bidrag ÅR 2 föreningar]]&gt;0,0,IF(Tabell2[[#This Row],[Bidragsgrunande medelmar]]&lt;100,0,IF(Tabell2[[#This Row],[Bidragsgrunande medelmar]]&lt;200,(Tabell2[[#This Row],[Bidragsgrunande medelmar]]-100),100)))</f>
        <v>73</v>
      </c>
      <c r="G43" s="34">
        <f t="shared" si="0"/>
        <v>14448.658536585366</v>
      </c>
      <c r="H43" s="33">
        <f>IF(Tabell2[[#This Row],[Bidrag ÅR 2 föreningar]]&gt;0,0,IF(B43&gt;200,B43-200,0))</f>
        <v>0</v>
      </c>
      <c r="I43" s="34">
        <f t="shared" si="1"/>
        <v>0</v>
      </c>
      <c r="J43" s="35">
        <f t="shared" si="2"/>
        <v>47814.297303105188</v>
      </c>
      <c r="K43" s="36">
        <f t="shared" si="3"/>
        <v>7.9690495505175318E-2</v>
      </c>
      <c r="L43" s="37">
        <f t="shared" si="4"/>
        <v>7.6854731230564188E-2</v>
      </c>
      <c r="M43" s="28">
        <f>VLOOKUP(Tabell2[[#This Row],[Medlemsförening]],medlemmar[[#All],[Förening]:[Medlemmar]],2,0)*$M$56</f>
        <v>38376.899696048633</v>
      </c>
      <c r="N43" s="29">
        <f t="shared" si="5"/>
        <v>0.24591349696828818</v>
      </c>
    </row>
    <row r="44" spans="1:14" ht="16" customHeight="1" thickBot="1" x14ac:dyDescent="0.25">
      <c r="A44" s="32" t="str">
        <f>'Medlemsföreningsunderlag 2018'!A14</f>
        <v>JDF (år 2)</v>
      </c>
      <c r="B44" s="33">
        <f>VLOOKUP(A44,medlemmar[],2,0)</f>
        <v>0</v>
      </c>
      <c r="C44" s="34">
        <v>15000</v>
      </c>
      <c r="D44" s="33">
        <f>IF(VLOOKUP(A44,medlemmar[],3,0)=0,IF($B44&lt;=100,$B44,100),0)</f>
        <v>0</v>
      </c>
      <c r="E44" s="34">
        <f t="shared" si="6"/>
        <v>0</v>
      </c>
      <c r="F44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44" s="34">
        <f t="shared" si="0"/>
        <v>0</v>
      </c>
      <c r="H44" s="33">
        <f>IF(Tabell2[[#This Row],[Bidrag ÅR 2 föreningar]]&gt;0,0,IF(B44&gt;200,B44-200,0))</f>
        <v>0</v>
      </c>
      <c r="I44" s="34">
        <f t="shared" si="1"/>
        <v>0</v>
      </c>
      <c r="J44" s="35">
        <f t="shared" si="2"/>
        <v>15000</v>
      </c>
      <c r="K44" s="36">
        <f t="shared" si="3"/>
        <v>2.5000000000000001E-2</v>
      </c>
      <c r="L44" s="37">
        <f t="shared" si="4"/>
        <v>0</v>
      </c>
      <c r="M44" s="28">
        <f>VLOOKUP(Tabell2[[#This Row],[Medlemsförening]],medlemmar[[#All],[Förening]:[Medlemmar]],2,0)*$M$56</f>
        <v>0</v>
      </c>
      <c r="N44" s="29">
        <f t="shared" si="5"/>
        <v>0</v>
      </c>
    </row>
    <row r="45" spans="1:14" ht="16" customHeight="1" thickBot="1" x14ac:dyDescent="0.25">
      <c r="A45" s="32" t="str">
        <f>'Medlemsföreningsunderlag 2018'!A15</f>
        <v>JIFS (år 2)</v>
      </c>
      <c r="B45" s="33">
        <f>VLOOKUP(A45,medlemmar[],2,0)</f>
        <v>0</v>
      </c>
      <c r="C45" s="34">
        <v>15000</v>
      </c>
      <c r="D45" s="33">
        <f>IF(VLOOKUP(A45,medlemmar[],3,0)=0,IF($B45&lt;=100,$B45,100),0)</f>
        <v>0</v>
      </c>
      <c r="E45" s="34">
        <f t="shared" si="6"/>
        <v>0</v>
      </c>
      <c r="F45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45" s="34">
        <f t="shared" si="0"/>
        <v>0</v>
      </c>
      <c r="H45" s="33">
        <f>IF(Tabell2[[#This Row],[Bidrag ÅR 2 föreningar]]&gt;0,0,IF(B45&gt;200,B45-200,0))</f>
        <v>0</v>
      </c>
      <c r="I45" s="34">
        <f t="shared" si="1"/>
        <v>0</v>
      </c>
      <c r="J45" s="35">
        <f t="shared" si="2"/>
        <v>15000</v>
      </c>
      <c r="K45" s="36">
        <f t="shared" si="3"/>
        <v>2.5000000000000001E-2</v>
      </c>
      <c r="L45" s="37">
        <f t="shared" si="4"/>
        <v>0</v>
      </c>
      <c r="M45" s="28">
        <f>VLOOKUP(Tabell2[[#This Row],[Medlemsförening]],medlemmar[[#All],[Förening]:[Medlemmar]],2,0)*$M$56</f>
        <v>0</v>
      </c>
      <c r="N45" s="29">
        <f t="shared" si="5"/>
        <v>0</v>
      </c>
    </row>
    <row r="46" spans="1:14" ht="16" customHeight="1" thickBot="1" x14ac:dyDescent="0.25">
      <c r="A46" s="32" t="str">
        <f>'Medlemsföreningsunderlag 2018'!A16</f>
        <v>JUF</v>
      </c>
      <c r="B46" s="33">
        <v>135</v>
      </c>
      <c r="C46" s="34">
        <f>IF(VLOOKUP(A46,medlemmar[],3,0)=1,IF(B46&lt;11,$B$8,IF(B46&lt;21,$B$9,IF(B46&lt;41,$B$10,IF(B46&lt;71,$B$11,IF(B46&gt;70,$B$12,0))))),0)</f>
        <v>0</v>
      </c>
      <c r="D46" s="33">
        <f>IF(VLOOKUP(A46,medlemmar[],3,0)=0,IF($B46&lt;=100,$B46,100),0)</f>
        <v>100</v>
      </c>
      <c r="E46" s="34">
        <f t="shared" si="6"/>
        <v>33365.63876651982</v>
      </c>
      <c r="F46" s="33">
        <f>IF(Tabell2[[#This Row],[Bidrag ÅR 2 föreningar]]&gt;0,0,IF(Tabell2[[#This Row],[Bidragsgrunande medelmar]]&lt;100,0,IF(Tabell2[[#This Row],[Bidragsgrunande medelmar]]&lt;200,(Tabell2[[#This Row],[Bidragsgrunande medelmar]]-100),100)))</f>
        <v>35</v>
      </c>
      <c r="G46" s="34">
        <f t="shared" si="0"/>
        <v>6927.4390243902444</v>
      </c>
      <c r="H46" s="33">
        <f>IF(Tabell2[[#This Row],[Bidrag ÅR 2 föreningar]]&gt;0,0,IF(B46&gt;200,B46-200,0))</f>
        <v>0</v>
      </c>
      <c r="I46" s="34">
        <f t="shared" si="1"/>
        <v>0</v>
      </c>
      <c r="J46" s="35">
        <f t="shared" si="2"/>
        <v>40293.077790910065</v>
      </c>
      <c r="K46" s="36">
        <f t="shared" si="3"/>
        <v>6.7155129651516779E-2</v>
      </c>
      <c r="L46" s="37">
        <f t="shared" si="4"/>
        <v>5.9973345179920035E-2</v>
      </c>
      <c r="M46" s="28">
        <f>VLOOKUP(Tabell2[[#This Row],[Medlemsförening]],medlemmar[[#All],[Förening]:[Medlemmar]],2,0)*$M$56</f>
        <v>38018.237082066873</v>
      </c>
      <c r="N46" s="29">
        <f t="shared" si="5"/>
        <v>5.9835512728606509E-2</v>
      </c>
    </row>
    <row r="47" spans="1:14" ht="16" customHeight="1" thickBot="1" x14ac:dyDescent="0.25">
      <c r="A47" s="32" t="str">
        <f>'Medlemsföreningsunderlag 2018'!A17</f>
        <v>Moishe House (år 2)</v>
      </c>
      <c r="B47" s="33">
        <f>VLOOKUP(A47,medlemmar[],2,0)</f>
        <v>0</v>
      </c>
      <c r="C47" s="34">
        <v>12000</v>
      </c>
      <c r="D47" s="33">
        <f>IF(VLOOKUP(A47,medlemmar[],3,0)=0,IF($B47&lt;=100,$B47,100),0)</f>
        <v>0</v>
      </c>
      <c r="E47" s="34">
        <f t="shared" si="6"/>
        <v>0</v>
      </c>
      <c r="F47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47" s="34">
        <f t="shared" si="0"/>
        <v>0</v>
      </c>
      <c r="H47" s="33">
        <f>IF(Tabell2[[#This Row],[Bidrag ÅR 2 föreningar]]&gt;0,0,IF(B47&gt;200,B47-200,0))</f>
        <v>0</v>
      </c>
      <c r="I47" s="34">
        <f t="shared" si="1"/>
        <v>0</v>
      </c>
      <c r="J47" s="35">
        <f t="shared" si="2"/>
        <v>12000</v>
      </c>
      <c r="K47" s="36">
        <f t="shared" si="3"/>
        <v>0.02</v>
      </c>
      <c r="L47" s="37">
        <f t="shared" si="4"/>
        <v>0</v>
      </c>
      <c r="M47" s="28">
        <f>VLOOKUP(Tabell2[[#This Row],[Medlemsförening]],medlemmar[[#All],[Förening]:[Medlemmar]],2,0)*$M$56</f>
        <v>0</v>
      </c>
      <c r="N47" s="29">
        <f t="shared" si="5"/>
        <v>0</v>
      </c>
    </row>
    <row r="48" spans="1:14" ht="16" customHeight="1" thickBot="1" x14ac:dyDescent="0.25">
      <c r="A48" s="32" t="str">
        <f>'Medlemsföreningsunderlag 2018'!A18</f>
        <v>NJUM</v>
      </c>
      <c r="B48" s="33">
        <v>154</v>
      </c>
      <c r="C48" s="34">
        <f>IF(VLOOKUP(A48,medlemmar[],3,0)=1,IF(B48&lt;11,$B$8,IF(B48&lt;21,$B$9,IF(B48&lt;41,$B$10,IF(B48&lt;71,$B$11,IF(B48&gt;70,$B$12,0))))),0)</f>
        <v>0</v>
      </c>
      <c r="D48" s="33">
        <f>IF(VLOOKUP(A48,medlemmar[],3,0)=0,IF($B48&lt;=100,$B48,100),0)</f>
        <v>100</v>
      </c>
      <c r="E48" s="34">
        <f t="shared" si="6"/>
        <v>33365.63876651982</v>
      </c>
      <c r="F48" s="33">
        <f>IF(Tabell2[[#This Row],[Bidrag ÅR 2 föreningar]]&gt;0,0,IF(Tabell2[[#This Row],[Bidragsgrunande medelmar]]&lt;100,0,IF(Tabell2[[#This Row],[Bidragsgrunande medelmar]]&lt;200,(Tabell2[[#This Row],[Bidragsgrunande medelmar]]-100),100)))</f>
        <v>54</v>
      </c>
      <c r="G48" s="34">
        <f t="shared" si="0"/>
        <v>10688.048780487805</v>
      </c>
      <c r="H48" s="33">
        <f>IF(Tabell2[[#This Row],[Bidrag ÅR 2 föreningar]]&gt;0,0,IF(B48&gt;200,B48-200,0))</f>
        <v>0</v>
      </c>
      <c r="I48" s="34">
        <f t="shared" si="1"/>
        <v>0</v>
      </c>
      <c r="J48" s="35">
        <f t="shared" si="2"/>
        <v>44053.687547007627</v>
      </c>
      <c r="K48" s="36">
        <f t="shared" si="3"/>
        <v>7.3422812578346042E-2</v>
      </c>
      <c r="L48" s="37">
        <f t="shared" si="4"/>
        <v>6.8414038205242111E-2</v>
      </c>
      <c r="M48" s="28">
        <f>VLOOKUP(Tabell2[[#This Row],[Medlemsförening]],medlemmar[[#All],[Förening]:[Medlemmar]],2,0)*$M$56</f>
        <v>33714.285714285717</v>
      </c>
      <c r="N48" s="29">
        <f t="shared" si="5"/>
        <v>0.3066771730044634</v>
      </c>
    </row>
    <row r="49" spans="1:14" ht="16" customHeight="1" thickBot="1" x14ac:dyDescent="0.25">
      <c r="A49" s="32" t="str">
        <f>'Medlemsföreningsunderlag 2018'!A19</f>
        <v>Nya JF</v>
      </c>
      <c r="B49" s="33">
        <v>706</v>
      </c>
      <c r="C49" s="34">
        <f>IF(VLOOKUP(A49,medlemmar[],3,0)=1,IF(B49&lt;11,$B$8,IF(B49&lt;21,$B$9,IF(B49&lt;41,$B$10,IF(B49&lt;71,$B$11,IF(B49&gt;70,$B$12,0))))),0)</f>
        <v>0</v>
      </c>
      <c r="D49" s="33">
        <f>IF(VLOOKUP(A49,medlemmar[],3,0)=0,IF($B49&lt;=100,$B49,100),0)</f>
        <v>100</v>
      </c>
      <c r="E49" s="34">
        <f t="shared" si="6"/>
        <v>33365.63876651982</v>
      </c>
      <c r="F49" s="33">
        <f>IF(Tabell2[[#This Row],[Bidrag ÅR 2 föreningar]]&gt;0,0,IF(Tabell2[[#This Row],[Bidragsgrunande medelmar]]&lt;100,0,IF(Tabell2[[#This Row],[Bidragsgrunande medelmar]]&lt;200,(Tabell2[[#This Row],[Bidragsgrunande medelmar]]-100),100)))</f>
        <v>100</v>
      </c>
      <c r="G49" s="34">
        <f t="shared" si="0"/>
        <v>19792.682926829268</v>
      </c>
      <c r="H49" s="33">
        <f>IF(Tabell2[[#This Row],[Bidrag ÅR 2 föreningar]]&gt;0,0,IF(B49&gt;200,B49-200,0))</f>
        <v>506</v>
      </c>
      <c r="I49" s="34">
        <f>H49*$B$31</f>
        <v>52643.461538461539</v>
      </c>
      <c r="J49" s="35">
        <f t="shared" si="2"/>
        <v>105801.78323181064</v>
      </c>
      <c r="K49" s="36">
        <f t="shared" si="3"/>
        <v>0.17633630538635106</v>
      </c>
      <c r="L49" s="37">
        <f t="shared" si="4"/>
        <v>0.31363838294091517</v>
      </c>
      <c r="M49" s="28">
        <f>VLOOKUP(Tabell2[[#This Row],[Medlemsförening]],medlemmar[[#All],[Förening]:[Medlemmar]],2,0)*$M$56</f>
        <v>187939.20972644378</v>
      </c>
      <c r="N49" s="29">
        <f t="shared" si="5"/>
        <v>-0.43704252355955331</v>
      </c>
    </row>
    <row r="50" spans="1:14" ht="16" customHeight="1" thickBot="1" x14ac:dyDescent="0.25">
      <c r="A50" s="32" t="str">
        <f>'Medlemsföreningsunderlag 2018'!A20</f>
        <v xml:space="preserve">Shtujot </v>
      </c>
      <c r="B50" s="33">
        <v>8</v>
      </c>
      <c r="C50" s="34">
        <f>IF(VLOOKUP(A50,medlemmar[],3,0)=1,IF(B50&lt;11,$B$8,IF(B50&lt;21,$B$9,IF(B50&lt;41,$B$10,IF(B50&lt;71,$B$11,IF(B50&gt;70,$B$12,0))))),0)</f>
        <v>0</v>
      </c>
      <c r="D50" s="33">
        <f>IF(VLOOKUP(A50,medlemmar[],3,0)=0,IF($B50&lt;=100,$B50,100),0)</f>
        <v>8</v>
      </c>
      <c r="E50" s="34">
        <f t="shared" si="6"/>
        <v>2669.2511013215858</v>
      </c>
      <c r="F50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50" s="34">
        <f t="shared" si="0"/>
        <v>0</v>
      </c>
      <c r="H50" s="33">
        <f>IF(Tabell2[[#This Row],[Bidrag ÅR 2 föreningar]]&gt;0,0,IF(B50&gt;200,B50-200,0))</f>
        <v>0</v>
      </c>
      <c r="I50" s="34">
        <f t="shared" si="1"/>
        <v>0</v>
      </c>
      <c r="J50" s="35">
        <f t="shared" si="2"/>
        <v>2669.2511013215858</v>
      </c>
      <c r="K50" s="36">
        <f t="shared" si="3"/>
        <v>4.4487518355359763E-3</v>
      </c>
      <c r="L50" s="37">
        <f t="shared" si="4"/>
        <v>3.5539760106619279E-3</v>
      </c>
      <c r="M50" s="28">
        <f>VLOOKUP(Tabell2[[#This Row],[Medlemsförening]],medlemmar[[#All],[Förening]:[Medlemmar]],2,0)*$M$56</f>
        <v>1793.3130699088147</v>
      </c>
      <c r="N50" s="29">
        <f t="shared" si="5"/>
        <v>0.48844680056746048</v>
      </c>
    </row>
    <row r="51" spans="1:14" ht="16" customHeight="1" thickBot="1" x14ac:dyDescent="0.25">
      <c r="A51" s="32" t="str">
        <f>'Medlemsföreningsunderlag 2018'!A21</f>
        <v>SJUF</v>
      </c>
      <c r="B51" s="33">
        <v>80</v>
      </c>
      <c r="C51" s="34">
        <f>IF(VLOOKUP(A51,medlemmar[],3,0)=1,IF(B51&lt;11,$B$8,IF(B51&lt;21,$B$9,IF(B51&lt;41,$B$10,IF(B51&lt;71,$B$11,IF(B51&gt;70,$B$12,0))))),0)</f>
        <v>0</v>
      </c>
      <c r="D51" s="33">
        <f>IF(VLOOKUP(A51,medlemmar[],3,0)=0,IF($B51&lt;=100,$B51,100),0)</f>
        <v>80</v>
      </c>
      <c r="E51" s="34">
        <f t="shared" si="6"/>
        <v>26692.511013215859</v>
      </c>
      <c r="F51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51" s="34">
        <f t="shared" si="0"/>
        <v>0</v>
      </c>
      <c r="H51" s="33">
        <f>IF(Tabell2[[#This Row],[Bidrag ÅR 2 föreningar]]&gt;0,0,IF(B51&gt;200,B51-200,0))</f>
        <v>0</v>
      </c>
      <c r="I51" s="34">
        <f t="shared" si="1"/>
        <v>0</v>
      </c>
      <c r="J51" s="35">
        <f t="shared" si="2"/>
        <v>26692.511013215859</v>
      </c>
      <c r="K51" s="36">
        <f t="shared" si="3"/>
        <v>4.4487518355359766E-2</v>
      </c>
      <c r="L51" s="37">
        <f t="shared" si="4"/>
        <v>3.5539760106619279E-2</v>
      </c>
      <c r="M51" s="28">
        <f>VLOOKUP(Tabell2[[#This Row],[Medlemsförening]],medlemmar[[#All],[Förening]:[Medlemmar]],2,0)*$M$56</f>
        <v>20085.106382978724</v>
      </c>
      <c r="N51" s="29">
        <f t="shared" si="5"/>
        <v>0.32897035764951837</v>
      </c>
    </row>
    <row r="52" spans="1:14" ht="16" customHeight="1" thickBot="1" x14ac:dyDescent="0.25">
      <c r="A52" s="32" t="str">
        <f>'Medlemsföreningsunderlag 2018'!A22</f>
        <v>Unga judar</v>
      </c>
      <c r="B52" s="33">
        <v>43</v>
      </c>
      <c r="C52" s="34">
        <f>IF(VLOOKUP(A52,medlemmar[],3,0)=1,IF(B52&lt;11,$B$8,IF(B52&lt;21,$B$9,IF(B52&lt;41,$B$10,IF(B52&lt;71,$B$11,IF(B52&gt;70,$B$12,0))))),0)</f>
        <v>0</v>
      </c>
      <c r="D52" s="33">
        <f>IF(VLOOKUP(A52,medlemmar[],3,0)=0,IF($B52&lt;=100,$B52,100),0)</f>
        <v>43</v>
      </c>
      <c r="E52" s="34">
        <f t="shared" si="6"/>
        <v>14347.224669603524</v>
      </c>
      <c r="F52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52" s="34">
        <f t="shared" si="0"/>
        <v>0</v>
      </c>
      <c r="H52" s="33">
        <f>IF(Tabell2[[#This Row],[Bidrag ÅR 2 föreningar]]&gt;0,0,IF(B52&gt;200,B52-200,0))</f>
        <v>0</v>
      </c>
      <c r="I52" s="34">
        <f t="shared" si="1"/>
        <v>0</v>
      </c>
      <c r="J52" s="35">
        <f t="shared" si="2"/>
        <v>14347.224669603524</v>
      </c>
      <c r="K52" s="36">
        <f t="shared" si="3"/>
        <v>2.3912041116005874E-2</v>
      </c>
      <c r="L52" s="37">
        <f t="shared" si="4"/>
        <v>1.9102621057307864E-2</v>
      </c>
      <c r="M52" s="28">
        <f>VLOOKUP(Tabell2[[#This Row],[Medlemsförening]],medlemmar[[#All],[Förening]:[Medlemmar]],2,0)*$M$56</f>
        <v>10759.878419452889</v>
      </c>
      <c r="N52" s="29">
        <f t="shared" si="5"/>
        <v>0.33340025884168323</v>
      </c>
    </row>
    <row r="53" spans="1:14" ht="16" customHeight="1" thickBot="1" x14ac:dyDescent="0.25">
      <c r="A53" s="32" t="str">
        <f>'Medlemsföreningsunderlag 2018'!A23</f>
        <v>ÖJUF</v>
      </c>
      <c r="B53" s="33">
        <v>75</v>
      </c>
      <c r="C53" s="34">
        <f>IF(VLOOKUP(A53,medlemmar[],3,0)=1,IF(B53&lt;11,$B$8,IF(B53&lt;21,$B$9,IF(B53&lt;41,$B$10,IF(B53&lt;71,$B$11,IF(B53&gt;70,$B$12,0))))),0)</f>
        <v>0</v>
      </c>
      <c r="D53" s="33">
        <f>IF(VLOOKUP(A53,medlemmar[],3,0)=0,IF($B53&lt;=100,$B53,100),0)</f>
        <v>75</v>
      </c>
      <c r="E53" s="34">
        <f t="shared" si="6"/>
        <v>25024.229074889867</v>
      </c>
      <c r="F53" s="33">
        <f>IF(Tabell2[[#This Row],[Bidrag ÅR 2 föreningar]]&gt;0,0,IF(Tabell2[[#This Row],[Bidragsgrunande medelmar]]&lt;100,0,IF(Tabell2[[#This Row],[Bidragsgrunande medelmar]]&lt;200,(Tabell2[[#This Row],[Bidragsgrunande medelmar]]-100),100)))</f>
        <v>0</v>
      </c>
      <c r="G53" s="34">
        <f t="shared" si="0"/>
        <v>0</v>
      </c>
      <c r="H53" s="33">
        <f>IF(Tabell2[[#This Row],[Bidrag ÅR 2 föreningar]]&gt;0,0,IF(B53&gt;200,B53-200,0))</f>
        <v>0</v>
      </c>
      <c r="I53" s="34">
        <f t="shared" si="1"/>
        <v>0</v>
      </c>
      <c r="J53" s="35">
        <f t="shared" si="2"/>
        <v>25024.229074889867</v>
      </c>
      <c r="K53" s="36">
        <f t="shared" si="3"/>
        <v>4.1707048458149779E-2</v>
      </c>
      <c r="L53" s="37">
        <f t="shared" si="4"/>
        <v>3.3318525099955573E-2</v>
      </c>
      <c r="M53" s="28">
        <f>VLOOKUP(Tabell2[[#This Row],[Medlemsförening]],medlemmar[[#All],[Förening]:[Medlemmar]],2,0)*$M$56</f>
        <v>16857.142857142859</v>
      </c>
      <c r="N53" s="29">
        <f t="shared" si="5"/>
        <v>0.48448816545956824</v>
      </c>
    </row>
    <row r="54" spans="1:14" ht="16" customHeight="1" thickBot="1" x14ac:dyDescent="0.25">
      <c r="A54" s="32" t="str">
        <f>'Medlemsföreningsunderlag 2018'!A24</f>
        <v>Bnei Akiva stockholm</v>
      </c>
      <c r="B54" s="33">
        <v>104</v>
      </c>
      <c r="C54" s="34">
        <f>IF(VLOOKUP(A54,medlemmar[],3,0)=1,IF(B54&lt;11,$B$8,IF(B54&lt;21,$B$9,IF(B54&lt;41,$B$10,IF(B54&lt;71,$B$11,IF(B54&gt;70,$B$12,0))))),0)</f>
        <v>0</v>
      </c>
      <c r="D54" s="33">
        <f>IF(VLOOKUP(A54,medlemmar[],3,0)=0,IF($B54&lt;=100,$B54,100),0)</f>
        <v>100</v>
      </c>
      <c r="E54" s="34">
        <f t="shared" ref="E54" si="7">IF(D54&gt;0,$B$19*D54,0)</f>
        <v>33365.63876651982</v>
      </c>
      <c r="F54" s="33">
        <f>IF(Tabell2[[#This Row],[Bidrag ÅR 2 föreningar]]&gt;0,0,IF(Tabell2[[#This Row],[Bidragsgrunande medelmar]]&lt;100,0,IF(Tabell2[[#This Row],[Bidragsgrunande medelmar]]&lt;200,(Tabell2[[#This Row],[Bidragsgrunande medelmar]]-100),100)))</f>
        <v>4</v>
      </c>
      <c r="G54" s="34">
        <f t="shared" ref="G54" si="8">F54*$B$27</f>
        <v>791.70731707317077</v>
      </c>
      <c r="H54" s="33">
        <f>IF(Tabell2[[#This Row],[Bidrag ÅR 2 föreningar]]&gt;0,0,IF(B54&gt;200,B54-200,0))</f>
        <v>0</v>
      </c>
      <c r="I54" s="34">
        <f t="shared" ref="I54" si="9">H54*$B$31</f>
        <v>0</v>
      </c>
      <c r="J54" s="35">
        <f t="shared" ref="J54" si="10">C54+E54+G54+I54</f>
        <v>34157.346083592987</v>
      </c>
      <c r="K54" s="36">
        <f t="shared" ref="K54" si="11">J54/$B$3</f>
        <v>5.6928910139321644E-2</v>
      </c>
      <c r="L54" s="37">
        <f t="shared" ref="L54" si="12">(B54)/($B$55)</f>
        <v>4.6201688138605063E-2</v>
      </c>
      <c r="M54" s="28">
        <f>VLOOKUP(Tabell2[[#This Row],[Medlemsförening]],medlemmar[[#All],[Förening]:[Medlemmar]],2,0)*$M$56</f>
        <v>27617.021276595748</v>
      </c>
      <c r="N54" s="29">
        <f t="shared" ref="N54" si="13">IFERROR((J54-M54)/M54,0)</f>
        <v>0.23682223877416814</v>
      </c>
    </row>
    <row r="55" spans="1:14" ht="16" customHeight="1" thickBot="1" x14ac:dyDescent="0.25">
      <c r="A55" s="32" t="s">
        <v>78</v>
      </c>
      <c r="B55" s="38">
        <f t="shared" ref="B55:L55" si="14">SUM(B35:B53)</f>
        <v>2251</v>
      </c>
      <c r="C55" s="39">
        <f t="shared" si="14"/>
        <v>49000</v>
      </c>
      <c r="D55" s="38">
        <f t="shared" si="14"/>
        <v>1135</v>
      </c>
      <c r="E55" s="39">
        <f t="shared" si="14"/>
        <v>378700</v>
      </c>
      <c r="F55" s="38">
        <f t="shared" si="14"/>
        <v>492</v>
      </c>
      <c r="G55" s="39">
        <f t="shared" si="14"/>
        <v>97380</v>
      </c>
      <c r="H55" s="38">
        <f t="shared" si="14"/>
        <v>624</v>
      </c>
      <c r="I55" s="39">
        <f t="shared" si="14"/>
        <v>64920</v>
      </c>
      <c r="J55" s="35">
        <f t="shared" si="14"/>
        <v>590000</v>
      </c>
      <c r="K55" s="29">
        <f t="shared" si="14"/>
        <v>0.98333333333333339</v>
      </c>
      <c r="L55" s="29">
        <f t="shared" si="14"/>
        <v>1</v>
      </c>
      <c r="M55" s="65">
        <f>SUM(M35:M54)</f>
        <v>590000.00000000012</v>
      </c>
      <c r="N55" s="29"/>
    </row>
    <row r="56" spans="1:14" ht="14" customHeight="1" x14ac:dyDescent="0.2">
      <c r="H56" s="25"/>
      <c r="L56" s="27">
        <f>IF(J55+B5=B3,1,0)</f>
        <v>1</v>
      </c>
      <c r="M56" s="66">
        <f>((B3-B5)/medlemmar[[#Totals],[Medlemmar]])</f>
        <v>358.66261398176295</v>
      </c>
    </row>
    <row r="57" spans="1:14" x14ac:dyDescent="0.2">
      <c r="L57" s="62"/>
    </row>
  </sheetData>
  <sheetProtection selectLockedCells="1"/>
  <mergeCells count="3">
    <mergeCell ref="A1:K1"/>
    <mergeCell ref="F28:G28"/>
    <mergeCell ref="D25:G26"/>
  </mergeCells>
  <pageMargins left="0.75" right="0.75" top="1" bottom="1" header="0.5" footer="0.5"/>
  <pageSetup paperSize="9" orientation="landscape" horizontalDpi="4294967292" verticalDpi="4294967292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>
      <selection activeCell="B5" sqref="B5"/>
    </sheetView>
  </sheetViews>
  <sheetFormatPr baseColWidth="10" defaultRowHeight="13" x14ac:dyDescent="0.15"/>
  <cols>
    <col min="1" max="1" width="25.5" style="1" bestFit="1" customWidth="1"/>
    <col min="2" max="2" width="44.83203125" style="1" customWidth="1"/>
    <col min="3" max="3" width="18.5" style="1" customWidth="1"/>
    <col min="4" max="16384" width="10.83203125" style="1"/>
  </cols>
  <sheetData>
    <row r="1" spans="1:8" ht="26" x14ac:dyDescent="0.3">
      <c r="A1" s="70" t="s">
        <v>80</v>
      </c>
      <c r="B1" s="70"/>
      <c r="C1" s="70"/>
      <c r="D1" s="70"/>
      <c r="E1" s="70"/>
      <c r="F1" s="70"/>
      <c r="G1" s="70"/>
      <c r="H1" s="70"/>
    </row>
    <row r="4" spans="1:8" ht="38" customHeight="1" thickBot="1" x14ac:dyDescent="0.2">
      <c r="A4" s="19" t="s">
        <v>77</v>
      </c>
      <c r="B4" s="20" t="s">
        <v>75</v>
      </c>
      <c r="C4" s="21" t="s">
        <v>76</v>
      </c>
    </row>
    <row r="5" spans="1:8" ht="14" x14ac:dyDescent="0.15">
      <c r="A5" s="15" t="s">
        <v>82</v>
      </c>
      <c r="B5" s="5">
        <v>41</v>
      </c>
      <c r="C5" s="17">
        <v>0</v>
      </c>
    </row>
    <row r="6" spans="1:8" ht="14" x14ac:dyDescent="0.15">
      <c r="A6" s="16" t="s">
        <v>66</v>
      </c>
      <c r="B6" s="6">
        <v>177</v>
      </c>
      <c r="C6" s="18">
        <v>0</v>
      </c>
    </row>
    <row r="7" spans="1:8" ht="14" x14ac:dyDescent="0.15">
      <c r="A7" s="16" t="s">
        <v>67</v>
      </c>
      <c r="B7" s="6">
        <v>68</v>
      </c>
      <c r="C7" s="18">
        <v>0</v>
      </c>
    </row>
    <row r="8" spans="1:8" ht="14" x14ac:dyDescent="0.15">
      <c r="A8" s="16" t="s">
        <v>68</v>
      </c>
      <c r="B8" s="6">
        <v>0</v>
      </c>
      <c r="C8" s="18">
        <v>1</v>
      </c>
    </row>
    <row r="9" spans="1:8" ht="14" x14ac:dyDescent="0.15">
      <c r="A9" s="16" t="s">
        <v>83</v>
      </c>
      <c r="B9" s="6">
        <v>24</v>
      </c>
      <c r="C9" s="18">
        <v>0</v>
      </c>
    </row>
    <row r="10" spans="1:8" ht="14" x14ac:dyDescent="0.15">
      <c r="A10" s="16" t="s">
        <v>63</v>
      </c>
      <c r="B10" s="6">
        <v>29</v>
      </c>
      <c r="C10" s="18">
        <v>0</v>
      </c>
    </row>
    <row r="11" spans="1:8" ht="14" x14ac:dyDescent="0.15">
      <c r="A11" s="16" t="s">
        <v>2</v>
      </c>
      <c r="B11" s="6">
        <v>152</v>
      </c>
      <c r="C11" s="18">
        <v>0</v>
      </c>
    </row>
    <row r="12" spans="1:8" ht="14" x14ac:dyDescent="0.15">
      <c r="A12" s="16" t="s">
        <v>3</v>
      </c>
      <c r="B12" s="6">
        <v>108</v>
      </c>
      <c r="C12" s="18">
        <v>0</v>
      </c>
    </row>
    <row r="13" spans="1:8" ht="14" x14ac:dyDescent="0.15">
      <c r="A13" s="16" t="s">
        <v>7</v>
      </c>
      <c r="B13" s="6">
        <v>107</v>
      </c>
      <c r="C13" s="18">
        <v>0</v>
      </c>
    </row>
    <row r="14" spans="1:8" ht="14" x14ac:dyDescent="0.15">
      <c r="A14" s="16" t="s">
        <v>69</v>
      </c>
      <c r="B14" s="6">
        <v>0</v>
      </c>
      <c r="C14" s="18">
        <v>1</v>
      </c>
    </row>
    <row r="15" spans="1:8" ht="14" x14ac:dyDescent="0.15">
      <c r="A15" s="16" t="s">
        <v>70</v>
      </c>
      <c r="B15" s="6">
        <v>0</v>
      </c>
      <c r="C15" s="18">
        <v>1</v>
      </c>
    </row>
    <row r="16" spans="1:8" ht="14" x14ac:dyDescent="0.15">
      <c r="A16" s="16" t="s">
        <v>15</v>
      </c>
      <c r="B16" s="6">
        <v>106</v>
      </c>
      <c r="C16" s="18">
        <v>0</v>
      </c>
    </row>
    <row r="17" spans="1:3" ht="14" x14ac:dyDescent="0.15">
      <c r="A17" s="16" t="s">
        <v>71</v>
      </c>
      <c r="B17" s="6">
        <v>0</v>
      </c>
      <c r="C17" s="18">
        <v>1</v>
      </c>
    </row>
    <row r="18" spans="1:3" ht="14" x14ac:dyDescent="0.15">
      <c r="A18" s="16" t="s">
        <v>64</v>
      </c>
      <c r="B18" s="6">
        <v>94</v>
      </c>
      <c r="C18" s="18">
        <v>0</v>
      </c>
    </row>
    <row r="19" spans="1:3" ht="14" x14ac:dyDescent="0.15">
      <c r="A19" s="16" t="s">
        <v>72</v>
      </c>
      <c r="B19" s="6">
        <v>524</v>
      </c>
      <c r="C19" s="18">
        <v>0</v>
      </c>
    </row>
    <row r="20" spans="1:3" ht="14" x14ac:dyDescent="0.15">
      <c r="A20" s="16" t="s">
        <v>73</v>
      </c>
      <c r="B20" s="6">
        <v>5</v>
      </c>
      <c r="C20" s="18">
        <v>0</v>
      </c>
    </row>
    <row r="21" spans="1:3" ht="14" x14ac:dyDescent="0.15">
      <c r="A21" s="16" t="s">
        <v>8</v>
      </c>
      <c r="B21" s="6">
        <v>56</v>
      </c>
      <c r="C21" s="18">
        <v>0</v>
      </c>
    </row>
    <row r="22" spans="1:3" ht="14" x14ac:dyDescent="0.15">
      <c r="A22" s="16" t="s">
        <v>74</v>
      </c>
      <c r="B22" s="6">
        <v>30</v>
      </c>
      <c r="C22" s="18">
        <v>0</v>
      </c>
    </row>
    <row r="23" spans="1:3" ht="14" x14ac:dyDescent="0.15">
      <c r="A23" s="16" t="s">
        <v>14</v>
      </c>
      <c r="B23" s="6">
        <v>47</v>
      </c>
      <c r="C23" s="18">
        <v>0</v>
      </c>
    </row>
    <row r="24" spans="1:3" ht="14" x14ac:dyDescent="0.15">
      <c r="A24" s="2" t="s">
        <v>84</v>
      </c>
      <c r="B24" s="6">
        <v>77</v>
      </c>
      <c r="C24" s="18">
        <v>0</v>
      </c>
    </row>
    <row r="25" spans="1:3" ht="14" x14ac:dyDescent="0.15">
      <c r="A25" s="2"/>
      <c r="B25" s="6"/>
      <c r="C25" s="18"/>
    </row>
    <row r="26" spans="1:3" ht="14" x14ac:dyDescent="0.15">
      <c r="A26" s="2"/>
      <c r="B26" s="6"/>
      <c r="C26" s="18"/>
    </row>
    <row r="27" spans="1:3" ht="14" x14ac:dyDescent="0.15">
      <c r="A27" s="2"/>
      <c r="B27" s="6"/>
      <c r="C27" s="18"/>
    </row>
    <row r="28" spans="1:3" ht="14" x14ac:dyDescent="0.15">
      <c r="A28" s="22"/>
      <c r="B28" s="6">
        <f>SUM(B5:B26)</f>
        <v>1645</v>
      </c>
      <c r="C28" s="23"/>
    </row>
  </sheetData>
  <mergeCells count="1">
    <mergeCell ref="A1:H1"/>
  </mergeCells>
  <pageMargins left="0.75" right="0.75" top="1" bottom="1" header="0.5" footer="0.5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Instruktioner</vt:lpstr>
      <vt:lpstr>Bidragsfördelningsnyckel</vt:lpstr>
      <vt:lpstr>Medlemsföreningsunderlag 2018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Cohn</dc:creator>
  <cp:keywords/>
  <dc:description/>
  <cp:lastModifiedBy>Microsoft Office-användare</cp:lastModifiedBy>
  <dcterms:created xsi:type="dcterms:W3CDTF">2013-03-14T22:51:55Z</dcterms:created>
  <dcterms:modified xsi:type="dcterms:W3CDTF">2018-03-08T09:31:01Z</dcterms:modified>
  <cp:category/>
</cp:coreProperties>
</file>